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95" tabRatio="797" activeTab="0"/>
  </bookViews>
  <sheets>
    <sheet name="Tbl 1- LIEE" sheetId="1" r:id="rId1"/>
    <sheet name="Tbl 4 - LIEE" sheetId="2" r:id="rId2"/>
    <sheet name="Table 6 - CARE" sheetId="3" r:id="rId3"/>
    <sheet name="Table 10" sheetId="4" r:id="rId4"/>
    <sheet name="Table 11, 11A, &amp; 11B" sheetId="5" r:id="rId5"/>
    <sheet name="Tbl 1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tticinsulation">'[5]Unit Input'!$D$8:$D$9</definedName>
    <definedName name="atticweatherstripping">'[5]Unit Input'!$D$5:$D$7</definedName>
    <definedName name="Base_Customers">'[5]Key to Tables'!$B$19</definedName>
    <definedName name="caulking">'[5]Unit Input'!$D$12:$D$14</definedName>
    <definedName name="centralAC">'[5]Unit Input'!$D$48</definedName>
    <definedName name="Discount">'[1]Energy Rate'!$C$44</definedName>
    <definedName name="Discount_Rate" localSheetId="1">#REF!</definedName>
    <definedName name="Discount_Rate">#REF!</definedName>
    <definedName name="Dixcount_Rate">#REF!</definedName>
    <definedName name="Diycount_Rate">#REF!</definedName>
    <definedName name="doorweatherstripping">'[5]Unit Input'!$D$17:$D$19</definedName>
    <definedName name="ductrepair">'[3]Per Measure Savings'!#REF!</definedName>
    <definedName name="ductsealandrepair">'[5]Unit Input'!$D$49:$D$51</definedName>
    <definedName name="educworkshop">'[5]Unit Input'!$D$63</definedName>
    <definedName name="electricfurnacerepair">'[5]Unit Input'!$D$40</definedName>
    <definedName name="electricfurnacereplacement">'[5]Unit Input'!$D$41</definedName>
    <definedName name="electricwaterheaterreplacement">'[5]Unit Input'!$D$54</definedName>
    <definedName name="Estimated_Month">'[3]Key to Tables'!#REF!</definedName>
    <definedName name="evapcoolercover">'[5]Unit Input'!$D$20</definedName>
    <definedName name="evapcoolermaintenance">'[5]Unit Input'!$D$58:$D$60</definedName>
    <definedName name="faucetaerator">'[5]Unit Input'!$D$21</definedName>
    <definedName name="furnacefilter">'[5]Unit Input'!$D$22:$D$24</definedName>
    <definedName name="gasfurnacerepair">'[5]Unit Input'!$D$38</definedName>
    <definedName name="gasfurnacereplacement">'[5]Unit Input'!$D$39</definedName>
    <definedName name="gaskets">'[5]Unit Input'!$D$29</definedName>
    <definedName name="gaswaterheaterreplacement">'[5]Unit Input'!$D$53</definedName>
    <definedName name="inhomeeduc">'[5]Unit Input'!$D$62</definedName>
    <definedName name="kWh">'[5]Key to Tables'!$B$17</definedName>
    <definedName name="landlordcentralac">'[5]Unit Input'!$D$45</definedName>
    <definedName name="landlordrefrigerator">'[5]Unit Input'!$D$43</definedName>
    <definedName name="landlordwindowac">'[5]Unit Input'!$D$44</definedName>
    <definedName name="lowflowshowerhead">'[5]Unit Input'!$D$25</definedName>
    <definedName name="minorhomerepair">'[5]Unit Input'!$D$26:$D$28</definedName>
    <definedName name="misc">'[5]Unit Input'!$D$42</definedName>
    <definedName name="Month">'[2]Key to Tables'!$B$15</definedName>
    <definedName name="Percent_Gas_Heat">'[5]Per Measure Savings'!$M$8</definedName>
    <definedName name="Percent_Gas_Water">'[5]Per Measure Savings'!$L$8</definedName>
    <definedName name="permanentevapcooler">'[5]Unit Input'!$D$46</definedName>
    <definedName name="portableevapcooler">'[5]Unit Input'!$D$30</definedName>
    <definedName name="_xlnm.Print_Area" localSheetId="4">'Table 11, 11A, &amp; 11B'!$A$1:$I$61</definedName>
    <definedName name="_xlnm.Print_Area" localSheetId="2">'Table 6 - CARE'!$A$1:$M$42</definedName>
    <definedName name="_xlnm.Print_Area" localSheetId="0">'Tbl 1- LIEE'!$A$1:$E$41</definedName>
    <definedName name="_xlnm.Print_Area" localSheetId="1">'Tbl 4 - LIEE'!$A$1:$F$65</definedName>
    <definedName name="refrigerator">'[5]Unit Input'!$D$31:$D$33</definedName>
    <definedName name="setbackthermostat">'[5]Unit Input'!$D$55</definedName>
    <definedName name="t">'[5]Unit Input'!$D$21</definedName>
    <definedName name="table">'[5]Unit Input'!$D$48</definedName>
    <definedName name="tbale">'[5]Unit Input'!$D$40</definedName>
    <definedName name="Therm">'[5]Key to Tables'!$B$18</definedName>
    <definedName name="waterheaterblanket">'[5]Unit Input'!$D$34:$D$36</definedName>
    <definedName name="waterheaterpipewrap">'[5]Unit Input'!$D$37</definedName>
    <definedName name="wholehousefan">'[5]Unit Input'!$D$52</definedName>
    <definedName name="windowAC">'[5]Unit Input'!$D$47</definedName>
    <definedName name="xx">#REF!</definedName>
    <definedName name="Year">'[4]Key to Tables'!$B$16</definedName>
  </definedNames>
  <calcPr fullCalcOnLoad="1"/>
</workbook>
</file>

<file path=xl/sharedStrings.xml><?xml version="1.0" encoding="utf-8"?>
<sst xmlns="http://schemas.openxmlformats.org/spreadsheetml/2006/main" count="399" uniqueCount="213">
  <si>
    <t>Electric YTD</t>
  </si>
  <si>
    <t>Budget</t>
  </si>
  <si>
    <t>% YTD / Budget</t>
  </si>
  <si>
    <t>LIEE Program:</t>
  </si>
  <si>
    <t>Base Program</t>
  </si>
  <si>
    <t>Total</t>
  </si>
  <si>
    <r>
      <t>Base Program</t>
    </r>
    <r>
      <rPr>
        <vertAlign val="superscript"/>
        <sz val="8"/>
        <rFont val="Times New Roman"/>
        <family val="1"/>
      </rPr>
      <t xml:space="preserve"> [1]</t>
    </r>
  </si>
  <si>
    <t>Energy Efficiency</t>
  </si>
  <si>
    <t xml:space="preserve"> - Gas Appliances</t>
  </si>
  <si>
    <t xml:space="preserve"> - Weatherization</t>
  </si>
  <si>
    <t xml:space="preserve"> - Outreach &amp; Assessment</t>
  </si>
  <si>
    <t xml:space="preserve"> - In Home Energy Education</t>
  </si>
  <si>
    <t xml:space="preserve"> - Education Workshops</t>
  </si>
  <si>
    <t>Energy Efficiency TOTAL</t>
  </si>
  <si>
    <t>Landlord Rebate Pilots</t>
  </si>
  <si>
    <t xml:space="preserve"> - Refrigerator</t>
  </si>
  <si>
    <t xml:space="preserve"> - A/C Replacement - Room</t>
  </si>
  <si>
    <t xml:space="preserve"> - A/C Replacement - Central</t>
  </si>
  <si>
    <t>Pilots</t>
  </si>
  <si>
    <t>Total Pilots</t>
  </si>
  <si>
    <t>Inspections</t>
  </si>
  <si>
    <t>Advertising</t>
  </si>
  <si>
    <t>M&amp;E Studies</t>
  </si>
  <si>
    <t>Regulatory Compliance</t>
  </si>
  <si>
    <t>Other Administration</t>
  </si>
  <si>
    <t>Indirect Costs*</t>
  </si>
  <si>
    <t>Oversight Costs</t>
  </si>
  <si>
    <t xml:space="preserve"> - LIAB Start-up</t>
  </si>
  <si>
    <t xml:space="preserve"> - LIAB PY Past Year**</t>
  </si>
  <si>
    <t xml:space="preserve"> - CPUC Energy Division</t>
  </si>
  <si>
    <t>Total Oversight Costs</t>
  </si>
  <si>
    <t>TOTAL COSTS</t>
  </si>
  <si>
    <t xml:space="preserve"> </t>
  </si>
  <si>
    <t>Electric</t>
  </si>
  <si>
    <t>Base Program
Jan to Date</t>
  </si>
  <si>
    <t>n/a</t>
  </si>
  <si>
    <t>Measures</t>
  </si>
  <si>
    <t>Units</t>
  </si>
  <si>
    <t>Current Month</t>
  </si>
  <si>
    <t>YTD</t>
  </si>
  <si>
    <t>Initiated but not Completed</t>
  </si>
  <si>
    <t>Base</t>
  </si>
  <si>
    <t>Base
Jan to Date</t>
  </si>
  <si>
    <t>Furnaces</t>
  </si>
  <si>
    <t xml:space="preserve"> - Repair - Gas</t>
  </si>
  <si>
    <t>Each</t>
  </si>
  <si>
    <t xml:space="preserve"> - Replacement - Gas</t>
  </si>
  <si>
    <t xml:space="preserve"> - Repair - Electric</t>
  </si>
  <si>
    <t xml:space="preserve"> - Replacement - Electric</t>
  </si>
  <si>
    <t>Infiltration &amp; Space Conditioning.</t>
  </si>
  <si>
    <t xml:space="preserve"> - Duct Repair</t>
  </si>
  <si>
    <t>Home</t>
  </si>
  <si>
    <t xml:space="preserve"> - Cover Plates/Gaskets</t>
  </si>
  <si>
    <t>Weatherization</t>
  </si>
  <si>
    <t xml:space="preserve"> - Evaporative Cooler/Air Cond. Covers</t>
  </si>
  <si>
    <t xml:space="preserve"> - Attic Insulation</t>
  </si>
  <si>
    <t xml:space="preserve"> - Water Heater Blanket</t>
  </si>
  <si>
    <t xml:space="preserve"> - Low Flow Showerhead</t>
  </si>
  <si>
    <t xml:space="preserve"> - Caulking</t>
  </si>
  <si>
    <t xml:space="preserve"> - Minor Home Repairs</t>
  </si>
  <si>
    <t xml:space="preserve"> - Attic Access Weatherstripping</t>
  </si>
  <si>
    <t xml:space="preserve"> - HVAC Air Filter Replacement</t>
  </si>
  <si>
    <t>Water Heater Savings</t>
  </si>
  <si>
    <t>- Water Heater Pipe Wrap</t>
  </si>
  <si>
    <t>- Faucet Aerators</t>
  </si>
  <si>
    <t>Miscellaneous Measures</t>
  </si>
  <si>
    <t>Permanent Evaporative Coolers</t>
  </si>
  <si>
    <t>Portable Evaporative Coolers</t>
  </si>
  <si>
    <t>Compact Fluorescents (indoor)</t>
  </si>
  <si>
    <t>Compact Fluorescents (outdoor)</t>
  </si>
  <si>
    <t>Refrigerators</t>
  </si>
  <si>
    <t xml:space="preserve"> - Refrigerators</t>
  </si>
  <si>
    <t xml:space="preserve"> - Air Conditioner Replacement - Room</t>
  </si>
  <si>
    <t xml:space="preserve"> - Air Conditioner Replacement - Central</t>
  </si>
  <si>
    <t>Pilots - Rapid Deployment</t>
  </si>
  <si>
    <t xml:space="preserve"> - Duct Sealing and Repair</t>
  </si>
  <si>
    <t xml:space="preserve"> - Whole House Fans</t>
  </si>
  <si>
    <t xml:space="preserve"> - Water Heater Replacement - Gas</t>
  </si>
  <si>
    <t xml:space="preserve"> - Water Heater Replacement - Electric</t>
  </si>
  <si>
    <t xml:space="preserve"> - Set-back Thermostats</t>
  </si>
  <si>
    <t xml:space="preserve"> - Evaporative Cooler Maintenance</t>
  </si>
  <si>
    <t>Energy Education</t>
  </si>
  <si>
    <t>- Outreach &amp; Assessment</t>
  </si>
  <si>
    <t>- In-Home Education</t>
  </si>
  <si>
    <t>- Education Workshops</t>
  </si>
  <si>
    <t>- Home Weatherized</t>
  </si>
  <si>
    <t>- Home Treated</t>
  </si>
  <si>
    <t xml:space="preserve"> - Pilot (A)</t>
  </si>
  <si>
    <t>January</t>
  </si>
  <si>
    <t>February</t>
  </si>
  <si>
    <t>March</t>
  </si>
  <si>
    <t xml:space="preserve">April </t>
  </si>
  <si>
    <t>May</t>
  </si>
  <si>
    <t>June</t>
  </si>
  <si>
    <t xml:space="preserve">July </t>
  </si>
  <si>
    <t xml:space="preserve">August </t>
  </si>
  <si>
    <t>September</t>
  </si>
  <si>
    <t xml:space="preserve">October </t>
  </si>
  <si>
    <t>November</t>
  </si>
  <si>
    <t>December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</si>
  <si>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</si>
  <si>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</si>
  <si>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</si>
  <si>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</si>
  <si>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</si>
  <si>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</si>
  <si>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</si>
  <si>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</si>
  <si>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</si>
  <si>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</si>
  <si>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</si>
  <si>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B </t>
  </si>
  <si>
    <t>Training Center</t>
  </si>
  <si>
    <t xml:space="preserve"> - LIAB PY Present Year</t>
  </si>
  <si>
    <t xml:space="preserve"> - Weatherstripping</t>
  </si>
  <si>
    <t>Total CARE Population less Capitation Enrollments</t>
  </si>
  <si>
    <t>Participants Requested to Verify</t>
  </si>
  <si>
    <t xml:space="preserve">% of Population Total </t>
  </si>
  <si>
    <t>Participants Dropped (No Response)</t>
  </si>
  <si>
    <t>Participants Dropped (Verified as Ineligible)</t>
  </si>
  <si>
    <t>Total Dropped</t>
  </si>
  <si>
    <t xml:space="preserve">% of Total Population Dropped </t>
  </si>
  <si>
    <t>Total SBX1 5 Outreach Enrollment</t>
  </si>
  <si>
    <t>% of Outreach Total</t>
  </si>
  <si>
    <t>Total CARE Population</t>
  </si>
  <si>
    <t>% of Population Total</t>
  </si>
  <si>
    <t>% of Total Population Dropped</t>
  </si>
  <si>
    <r>
      <t>% Dropped through Verification</t>
    </r>
    <r>
      <rPr>
        <vertAlign val="superscript"/>
        <sz val="10"/>
        <rFont val="Times New Roman"/>
        <family val="1"/>
      </rPr>
      <t>1</t>
    </r>
  </si>
  <si>
    <t>Gross Enrollment From Capitation</t>
  </si>
  <si>
    <t>Gross Enrollment Other Sources
(Not Including Recertification Enrollment)</t>
  </si>
  <si>
    <t>Attrition
(Drop Offs)</t>
  </si>
  <si>
    <t>April</t>
  </si>
  <si>
    <t>July</t>
  </si>
  <si>
    <t>August</t>
  </si>
  <si>
    <t>October</t>
  </si>
  <si>
    <t>Notes:</t>
  </si>
  <si>
    <t>Recertifications completed regardless of month requested.</t>
  </si>
  <si>
    <t xml:space="preserve"> - Electric Appliances [2]</t>
  </si>
  <si>
    <t xml:space="preserve">Base Program </t>
  </si>
  <si>
    <t>Base Program (PGC)</t>
  </si>
  <si>
    <t>CARE</t>
  </si>
  <si>
    <t>[1] Other</t>
  </si>
  <si>
    <t>Jan to Date</t>
  </si>
  <si>
    <t>*Other</t>
  </si>
  <si>
    <t>Outreach</t>
  </si>
  <si>
    <t>Total Outreach</t>
  </si>
  <si>
    <t>Processing/Certification/Verification</t>
  </si>
  <si>
    <t>Billing System /Programming</t>
  </si>
  <si>
    <t>Measurement &amp; Evaluation</t>
  </si>
  <si>
    <t>Regulatory Compliance [2]</t>
  </si>
  <si>
    <t>Other Administration [3]</t>
  </si>
  <si>
    <t>Indirect Costs (P&amp;B)</t>
  </si>
  <si>
    <t xml:space="preserve"> - LIAB PY Present Year**</t>
  </si>
  <si>
    <t xml:space="preserve"> - CPUC Energy Division [4]</t>
  </si>
  <si>
    <t>TOTAL PROGRAM COSTS</t>
  </si>
  <si>
    <t>Service Establishment Charge Discount</t>
  </si>
  <si>
    <t>Total Program Costs &amp; Customer Discounts</t>
  </si>
  <si>
    <t>[1] Includes CARE activities absorbed by non-CARE funding sources.</t>
  </si>
  <si>
    <t>[2] Includes Regulatory &amp; Compliance and Law.</t>
  </si>
  <si>
    <t>[3] Includes program management labor, overheads, and information technology support.</t>
  </si>
  <si>
    <t>[4] Includes only invoices received from the Public Utilities Commission for LIEE reimbursements - 70% allocated to CARE and 30% to other LIEE.</t>
  </si>
  <si>
    <t>YTD Enrolled</t>
  </si>
  <si>
    <t>TABLE 16</t>
  </si>
  <si>
    <t xml:space="preserve"> Estimated Eligible</t>
  </si>
  <si>
    <t>Monthly Enrolled by Capitation</t>
  </si>
  <si>
    <t>Monthly Enrolled By Non-Capitation</t>
  </si>
  <si>
    <t>Total Enrolled by Month</t>
  </si>
  <si>
    <t>Total # of CARE Participants</t>
  </si>
  <si>
    <t>Penetration Rate</t>
  </si>
  <si>
    <t xml:space="preserve"> - LIAB PY Past Year</t>
  </si>
  <si>
    <t>TABLE 10</t>
  </si>
  <si>
    <t>Gross Current Month Enrolled A+B+C</t>
  </si>
  <si>
    <t>Total Gross Enrollment D+E</t>
  </si>
  <si>
    <t>Net Enrollment  F-G</t>
  </si>
  <si>
    <t>Total CARE Participants</t>
  </si>
  <si>
    <t xml:space="preserve">Totals </t>
  </si>
  <si>
    <r>
      <t>Total Dropped</t>
    </r>
    <r>
      <rPr>
        <vertAlign val="superscript"/>
        <sz val="10"/>
        <rFont val="Times New Roman"/>
        <family val="1"/>
      </rPr>
      <t>1</t>
    </r>
  </si>
  <si>
    <t>% Dropped through Verification</t>
  </si>
  <si>
    <t>Completed and Expensed</t>
  </si>
  <si>
    <t>Completed but not Expensed</t>
  </si>
  <si>
    <t>Adjusted Net Enrollment = Net Enrollment - Recertification H-E</t>
  </si>
  <si>
    <t xml:space="preserve"> - Automatic Enrollment</t>
  </si>
  <si>
    <t xml:space="preserve"> - Pilot (B)</t>
  </si>
  <si>
    <t>* Indirect costs are not charged to the LIEE program</t>
  </si>
  <si>
    <t xml:space="preserve"> - Other Outreach</t>
  </si>
  <si>
    <t>Note: With the implementation of post PROACT rates on August 1, 2003, the 1-cent and 3-cent surcharge exemptions no longer are separate from the CARE discount.  CARE customers continue to receive a discount in excess of the mandated 20%, based on post-PROACT rates adopted in D.03-07-029, but the full cost of this discount is now included in rates for recovery from other customers.</t>
  </si>
  <si>
    <t>CARE Enrollment, Recertification, and Attrition - Southern California Edison</t>
  </si>
  <si>
    <t>Total For PY 2001</t>
  </si>
  <si>
    <t>% of Total SBX1 5 Population Dropped</t>
  </si>
  <si>
    <r>
      <t xml:space="preserve">Gross Enrollment From Automatic Enrollment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</si>
  <si>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Gross Enrollment From Recertification </t>
    </r>
    <r>
      <rPr>
        <b/>
        <vertAlign val="superscript"/>
        <sz val="10"/>
        <color indexed="8"/>
        <rFont val="Times New Roman"/>
        <family val="1"/>
      </rPr>
      <t>2</t>
    </r>
  </si>
  <si>
    <t>L</t>
  </si>
  <si>
    <t>M</t>
  </si>
  <si>
    <t>YTD = Jan 2006 through current month</t>
  </si>
  <si>
    <t xml:space="preserve"> - Capitation Program</t>
  </si>
  <si>
    <t>Appl. = Appliances                           Base = Authorized                  YTD = Jan 2006 through current month</t>
  </si>
  <si>
    <t xml:space="preserve"> - 2006 Cool Center</t>
  </si>
  <si>
    <t>CARE Rate Discount [5]</t>
  </si>
  <si>
    <t>Includes enrollment from data exchages with SoCalGas, Southwest Gas, and State DCSD.</t>
  </si>
  <si>
    <t>Total YTD PY2006</t>
  </si>
  <si>
    <r>
      <t>Participants Dropped (No Response)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</si>
  <si>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Verification results are tied to the month initiated.  Therefore, verification results may be pending due to the time permitted for a participant to respond.</t>
    </r>
  </si>
  <si>
    <r>
      <t>2</t>
    </r>
    <r>
      <rPr>
        <sz val="10"/>
        <rFont val="Times New Roman"/>
        <family val="1"/>
      </rPr>
      <t xml:space="preserve"> Verification results for April and May 2006 reflect participants dropped in June 2006 but tied back to these months when the verification request was issued; that is, participants were not dropped during the Winter Initiative period ending April 30, 2006.</t>
    </r>
  </si>
  <si>
    <t/>
  </si>
  <si>
    <t>CARE PARTICIPATION -- COMBINED RURAL &amp; URBAN - SOUTHERN CALIFORNIA EDISON - AS OF AUGUST 31, 2006</t>
  </si>
  <si>
    <t>Table 11 - CARE Standard Program Random Verification Results - 
Southern California Edison    As Of August 31, 2006</t>
  </si>
  <si>
    <t>Table 11A - CARE SBX1 5 Outreach Verification Results - 
Southern California Edison    As Of August 31, 2006</t>
  </si>
  <si>
    <t>Table 11B - Combined CARE Standard Program and SBX1 5 Outreach Verification Results - 
Southern California Edison    As Of August 31, 2006</t>
  </si>
  <si>
    <t>As of August 31, 2006</t>
  </si>
  <si>
    <t>Table 1 - LIEE Program Expenses – Southern California Edison -
As of August 31, 2006</t>
  </si>
  <si>
    <t>Table 4 - LIEE Measure Installations – Southern California Edison - As of August 31, 2006</t>
  </si>
  <si>
    <t>Table 6 - CARE Program Expenses – Southern California Edison - As of August 31, 2006</t>
  </si>
  <si>
    <t>[5] Current month and year-to-date figures are estimates.  SCE expects the actual numbers to be available for next month's report.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</si>
</sst>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  <numFmt numFmtId="167" formatCode="_(&quot;$&quot;* #,##0.0000_);_(&quot;$&quot;* \(#,##0.0000\);_(&quot;$&quot;* &quot;-&quot;??_);_(@_)"/>
    <numFmt numFmtId="168" formatCode="&quot;$&quot;#,##0"/>
    <numFmt numFmtId="169" formatCode="mmmm\-yy"/>
    <numFmt numFmtId="170" formatCode="#,###;\-0;;@"/>
    <numFmt numFmtId="171" formatCode="0.0000000%"/>
    <numFmt numFmtId="172" formatCode="#,##0;[Red]\(#,##0\)"/>
    <numFmt numFmtId="173" formatCode="_(* #,##0.0_);_(* \(#,##0.0\);_(* &quot;-&quot;??_);_(@_)"/>
    <numFmt numFmtId="174" formatCode="_(* #,##0.0_);_(* \(#,##0.0\);_(* &quot;-&quot;?_);_(@_)"/>
    <numFmt numFmtId="175" formatCode="_(&quot;$&quot;* #,##0.0_);_(&quot;$&quot;* \(#,##0.0\);_(&quot;$&quot;* &quot;-&quot;??_);_(@_)"/>
    <numFmt numFmtId="176" formatCode="&quot;$&quot;#,##0.00"/>
    <numFmt numFmtId="177" formatCode="mmmm\ d\,\ yyyy"/>
    <numFmt numFmtId="178" formatCode="_(* #,##0.000_);_(* \(#,##0.000\);_(* &quot;-&quot;??_);_(@_)"/>
    <numFmt numFmtId="179" formatCode="_(* #,##0.0000_);_(* \(#,##0.0000\);_(* &quot;-&quot;??_);_(@_)"/>
    <numFmt numFmtId="180" formatCode="0.0%"/>
    <numFmt numFmtId="181" formatCode="#,###;\-#,###;;@"/>
    <numFmt numFmtId="182" formatCode="mmm\-yyyy"/>
    <numFmt numFmtId="183" formatCode="_(&quot;$&quot;* #,##0.000_);_(&quot;$&quot;* \(#,##0.000\);_(&quot;$&quot;* &quot;-&quot;??_);_(@_)"/>
    <numFmt numFmtId="184" formatCode="#,##0.00;[Red]#,##0.00"/>
    <numFmt numFmtId="185" formatCode="#,##0.0;[Red]#,##0.0"/>
    <numFmt numFmtId="186" formatCode="#,##0.000;[Red]#,##0.000"/>
    <numFmt numFmtId="187" formatCode="#,##0;[Red]#,##0"/>
    <numFmt numFmtId="188" formatCode="0.000%"/>
    <numFmt numFmtId="189" formatCode="&quot;$&quot;#,##0;[Red]&quot;$&quot;#,##0"/>
    <numFmt numFmtId="190" formatCode="&quot;$&quot;#,##0.00;[Red]&quot;$&quot;#,##0.00"/>
    <numFmt numFmtId="191" formatCode="0.0"/>
    <numFmt numFmtId="192" formatCode="0.000"/>
    <numFmt numFmtId="193" formatCode="0.0000"/>
    <numFmt numFmtId="194" formatCode="&quot;$&quot;#,##0.000_);[Red]\(&quot;$&quot;#,##0.000\)"/>
    <numFmt numFmtId="195" formatCode="&quot;$&quot;#,##0.0000_);[Red]\(&quot;$&quot;#,##0.0000\)"/>
    <numFmt numFmtId="196" formatCode="&quot;$&quot;#,##0.00000_);[Red]\(&quot;$&quot;#,##0.00000\)"/>
    <numFmt numFmtId="197" formatCode="0.00000000"/>
    <numFmt numFmtId="198" formatCode="0.0000000"/>
    <numFmt numFmtId="199" formatCode="0.000000"/>
    <numFmt numFmtId="200" formatCode="&quot;$&quot;#,##0.000"/>
    <numFmt numFmtId="201" formatCode="&quot;$&quot;#,##0.0000"/>
    <numFmt numFmtId="202" formatCode="&quot;$&quot;#,##0.0_);\(&quot;$&quot;#,##0.0\)"/>
    <numFmt numFmtId="203" formatCode="0.000000000000000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#,##0.0"/>
    <numFmt numFmtId="211" formatCode="_(* #,##0.000_);_(* \(#,##0.000\);_(* &quot;-&quot;???_);_(@_)"/>
    <numFmt numFmtId="212" formatCode="&quot;$&quot;#,##0.0"/>
    <numFmt numFmtId="213" formatCode="&quot;$&quot;#,##0.0;[Red]&quot;$&quot;#,##0.0"/>
    <numFmt numFmtId="214" formatCode="#,##0.0000"/>
    <numFmt numFmtId="215" formatCode="_(&quot;$&quot;* #,##0.00000_);_(&quot;$&quot;* \(#,##0.00000\);_(&quot;$&quot;* &quot;-&quot;??_);_(@_)"/>
    <numFmt numFmtId="216" formatCode="_(* #,##0.0000_);_(* \(#,##0.0000\);_(* &quot;-&quot;????_);_(@_)"/>
    <numFmt numFmtId="217" formatCode="_(* #,##0.00000_);_(* \(#,##0.00000\);_(* &quot;-&quot;?????_);_(@_)"/>
    <numFmt numFmtId="218" formatCode="0.00000%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0;\-0;;@"/>
    <numFmt numFmtId="223" formatCode="0,000;\-0;;@"/>
    <numFmt numFmtId="224" formatCode="0.0000000000%"/>
    <numFmt numFmtId="225" formatCode="0%;\-0;;@"/>
    <numFmt numFmtId="226" formatCode="\x\,000;\-0;;@"/>
    <numFmt numFmtId="227" formatCode="#%;\-0;;@"/>
  </numFmts>
  <fonts count="20">
    <font>
      <sz val="10"/>
      <name val="Arial"/>
      <family val="0"/>
    </font>
    <font>
      <b/>
      <sz val="12"/>
      <name val="Times New Roman"/>
      <family val="1"/>
    </font>
    <font>
      <sz val="13"/>
      <name val="Garamond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164" fontId="4" fillId="0" borderId="4" xfId="17" applyNumberFormat="1" applyFont="1" applyBorder="1" applyAlignment="1">
      <alignment horizontal="justify" wrapText="1"/>
    </xf>
    <xf numFmtId="0" fontId="3" fillId="0" borderId="5" xfId="0" applyFont="1" applyBorder="1" applyAlignment="1">
      <alignment horizontal="centerContinuous" wrapText="1"/>
    </xf>
    <xf numFmtId="0" fontId="3" fillId="0" borderId="5" xfId="0" applyFont="1" applyBorder="1" applyAlignment="1">
      <alignment horizontal="justify" wrapText="1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3" fillId="0" borderId="9" xfId="0" applyFont="1" applyFill="1" applyBorder="1" applyAlignment="1">
      <alignment horizontal="centerContinuous" vertical="top" wrapText="1"/>
    </xf>
    <xf numFmtId="164" fontId="3" fillId="0" borderId="1" xfId="17" applyNumberFormat="1" applyFont="1" applyBorder="1" applyAlignment="1">
      <alignment horizontal="justify" vertical="top" wrapText="1"/>
    </xf>
    <xf numFmtId="43" fontId="0" fillId="0" borderId="0" xfId="15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165" fontId="3" fillId="0" borderId="13" xfId="15" applyNumberFormat="1" applyFont="1" applyBorder="1" applyAlignment="1">
      <alignment horizontal="centerContinuous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top" wrapText="1"/>
    </xf>
    <xf numFmtId="165" fontId="3" fillId="0" borderId="16" xfId="15" applyNumberFormat="1" applyFont="1" applyFill="1" applyBorder="1" applyAlignment="1">
      <alignment horizontal="right" vertical="top" wrapText="1"/>
    </xf>
    <xf numFmtId="165" fontId="3" fillId="0" borderId="13" xfId="15" applyNumberFormat="1" applyFont="1" applyFill="1" applyBorder="1" applyAlignment="1">
      <alignment horizontal="right" vertical="top" wrapText="1"/>
    </xf>
    <xf numFmtId="165" fontId="3" fillId="0" borderId="4" xfId="15" applyNumberFormat="1" applyFont="1" applyFill="1" applyBorder="1" applyAlignment="1">
      <alignment horizontal="right" vertical="top" wrapText="1"/>
    </xf>
    <xf numFmtId="165" fontId="3" fillId="0" borderId="17" xfId="15" applyNumberFormat="1" applyFont="1" applyFill="1" applyBorder="1" applyAlignment="1">
      <alignment horizontal="right" vertical="top" wrapText="1"/>
    </xf>
    <xf numFmtId="165" fontId="3" fillId="0" borderId="18" xfId="15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3" fillId="0" borderId="19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165" fontId="3" fillId="0" borderId="20" xfId="15" applyNumberFormat="1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1" xfId="0" applyFont="1" applyFill="1" applyBorder="1" applyAlignment="1" quotePrefix="1">
      <alignment horizontal="justify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 quotePrefix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165" fontId="3" fillId="0" borderId="24" xfId="15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 horizontal="right"/>
    </xf>
    <xf numFmtId="165" fontId="0" fillId="0" borderId="0" xfId="15" applyNumberFormat="1" applyAlignment="1">
      <alignment horizontal="right"/>
    </xf>
    <xf numFmtId="0" fontId="3" fillId="0" borderId="25" xfId="0" applyFont="1" applyBorder="1" applyAlignment="1">
      <alignment horizontal="centerContinuous"/>
    </xf>
    <xf numFmtId="0" fontId="8" fillId="0" borderId="3" xfId="0" applyFont="1" applyBorder="1" applyAlignment="1">
      <alignment horizontal="center" wrapText="1"/>
    </xf>
    <xf numFmtId="0" fontId="10" fillId="0" borderId="0" xfId="21">
      <alignment/>
      <protection/>
    </xf>
    <xf numFmtId="0" fontId="10" fillId="0" borderId="26" xfId="21" applyBorder="1" applyAlignment="1">
      <alignment horizontal="center"/>
      <protection/>
    </xf>
    <xf numFmtId="165" fontId="3" fillId="0" borderId="25" xfId="15" applyNumberFormat="1" applyFont="1" applyBorder="1" applyAlignment="1">
      <alignment horizontal="centerContinuous" wrapText="1"/>
    </xf>
    <xf numFmtId="0" fontId="0" fillId="0" borderId="0" xfId="0" applyBorder="1" applyAlignment="1">
      <alignment/>
    </xf>
    <xf numFmtId="0" fontId="10" fillId="0" borderId="26" xfId="21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5" fontId="9" fillId="0" borderId="28" xfId="15" applyNumberFormat="1" applyFont="1" applyBorder="1" applyAlignment="1">
      <alignment horizontal="center" wrapText="1"/>
    </xf>
    <xf numFmtId="165" fontId="9" fillId="0" borderId="29" xfId="15" applyNumberFormat="1" applyFont="1" applyBorder="1" applyAlignment="1">
      <alignment horizontal="center" wrapText="1"/>
    </xf>
    <xf numFmtId="165" fontId="3" fillId="0" borderId="30" xfId="15" applyNumberFormat="1" applyFont="1" applyFill="1" applyBorder="1" applyAlignment="1">
      <alignment horizontal="right" vertical="top" wrapText="1"/>
    </xf>
    <xf numFmtId="165" fontId="3" fillId="0" borderId="29" xfId="15" applyNumberFormat="1" applyFont="1" applyFill="1" applyBorder="1" applyAlignment="1">
      <alignment horizontal="right" vertical="top" wrapText="1"/>
    </xf>
    <xf numFmtId="165" fontId="3" fillId="0" borderId="31" xfId="15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2" xfId="0" applyFont="1" applyBorder="1" applyAlignment="1">
      <alignment/>
    </xf>
    <xf numFmtId="3" fontId="8" fillId="0" borderId="22" xfId="0" applyNumberFormat="1" applyFont="1" applyBorder="1" applyAlignment="1">
      <alignment/>
    </xf>
    <xf numFmtId="10" fontId="8" fillId="0" borderId="33" xfId="0" applyNumberFormat="1" applyFont="1" applyBorder="1" applyAlignment="1">
      <alignment/>
    </xf>
    <xf numFmtId="10" fontId="8" fillId="0" borderId="33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horizontal="right"/>
    </xf>
    <xf numFmtId="169" fontId="8" fillId="0" borderId="21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/>
    </xf>
    <xf numFmtId="10" fontId="8" fillId="0" borderId="34" xfId="0" applyNumberFormat="1" applyFont="1" applyBorder="1" applyAlignment="1">
      <alignment/>
    </xf>
    <xf numFmtId="10" fontId="8" fillId="0" borderId="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8" fillId="0" borderId="5" xfId="0" applyFont="1" applyBorder="1" applyAlignment="1">
      <alignment/>
    </xf>
    <xf numFmtId="10" fontId="8" fillId="0" borderId="23" xfId="0" applyNumberFormat="1" applyFont="1" applyBorder="1" applyAlignment="1">
      <alignment/>
    </xf>
    <xf numFmtId="0" fontId="8" fillId="0" borderId="3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6" xfId="0" applyFont="1" applyBorder="1" applyAlignment="1">
      <alignment vertical="top" wrapText="1"/>
    </xf>
    <xf numFmtId="3" fontId="8" fillId="0" borderId="26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7" fillId="0" borderId="0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/>
    </xf>
    <xf numFmtId="0" fontId="10" fillId="0" borderId="26" xfId="21" applyBorder="1">
      <alignment/>
      <protection/>
    </xf>
    <xf numFmtId="0" fontId="10" fillId="0" borderId="26" xfId="21" applyBorder="1" applyAlignment="1">
      <alignment horizontal="center" wrapText="1"/>
      <protection/>
    </xf>
    <xf numFmtId="43" fontId="0" fillId="0" borderId="0" xfId="15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7" xfId="0" applyNumberFormat="1" applyFont="1" applyBorder="1" applyAlignment="1">
      <alignment horizontal="right" wrapText="1"/>
    </xf>
    <xf numFmtId="3" fontId="3" fillId="0" borderId="36" xfId="0" applyNumberFormat="1" applyFont="1" applyBorder="1" applyAlignment="1">
      <alignment horizontal="right" wrapText="1"/>
    </xf>
    <xf numFmtId="168" fontId="3" fillId="0" borderId="4" xfId="0" applyNumberFormat="1" applyFont="1" applyBorder="1" applyAlignment="1">
      <alignment horizontal="justify" wrapText="1"/>
    </xf>
    <xf numFmtId="168" fontId="3" fillId="0" borderId="17" xfId="0" applyNumberFormat="1" applyFont="1" applyBorder="1" applyAlignment="1">
      <alignment horizontal="justify" wrapText="1"/>
    </xf>
    <xf numFmtId="168" fontId="3" fillId="0" borderId="18" xfId="0" applyNumberFormat="1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36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9" fontId="3" fillId="0" borderId="26" xfId="0" applyNumberFormat="1" applyFont="1" applyBorder="1" applyAlignment="1">
      <alignment horizontal="right" wrapText="1"/>
    </xf>
    <xf numFmtId="9" fontId="3" fillId="0" borderId="18" xfId="0" applyNumberFormat="1" applyFont="1" applyBorder="1" applyAlignment="1">
      <alignment horizontal="right" wrapText="1"/>
    </xf>
    <xf numFmtId="41" fontId="3" fillId="0" borderId="4" xfId="0" applyNumberFormat="1" applyFont="1" applyBorder="1" applyAlignment="1">
      <alignment horizontal="right" wrapText="1"/>
    </xf>
    <xf numFmtId="41" fontId="3" fillId="0" borderId="17" xfId="0" applyNumberFormat="1" applyFont="1" applyBorder="1" applyAlignment="1">
      <alignment horizontal="right" wrapText="1"/>
    </xf>
    <xf numFmtId="41" fontId="3" fillId="0" borderId="18" xfId="0" applyNumberFormat="1" applyFont="1" applyBorder="1" applyAlignment="1">
      <alignment horizontal="right" wrapText="1"/>
    </xf>
    <xf numFmtId="41" fontId="3" fillId="0" borderId="36" xfId="0" applyNumberFormat="1" applyFont="1" applyBorder="1" applyAlignment="1">
      <alignment horizontal="right" wrapText="1"/>
    </xf>
    <xf numFmtId="41" fontId="3" fillId="2" borderId="26" xfId="0" applyNumberFormat="1" applyFont="1" applyFill="1" applyBorder="1" applyAlignment="1">
      <alignment horizontal="right" wrapText="1"/>
    </xf>
    <xf numFmtId="41" fontId="3" fillId="2" borderId="18" xfId="0" applyNumberFormat="1" applyFont="1" applyFill="1" applyBorder="1" applyAlignment="1">
      <alignment horizontal="right" wrapText="1"/>
    </xf>
    <xf numFmtId="41" fontId="3" fillId="2" borderId="20" xfId="0" applyNumberFormat="1" applyFont="1" applyFill="1" applyBorder="1" applyAlignment="1">
      <alignment horizontal="right" wrapText="1"/>
    </xf>
    <xf numFmtId="41" fontId="3" fillId="2" borderId="17" xfId="0" applyNumberFormat="1" applyFont="1" applyFill="1" applyBorder="1" applyAlignment="1">
      <alignment horizontal="right" wrapText="1"/>
    </xf>
    <xf numFmtId="41" fontId="3" fillId="2" borderId="36" xfId="0" applyNumberFormat="1" applyFont="1" applyFill="1" applyBorder="1" applyAlignment="1">
      <alignment horizontal="right" wrapText="1"/>
    </xf>
    <xf numFmtId="41" fontId="3" fillId="2" borderId="37" xfId="0" applyNumberFormat="1" applyFont="1" applyFill="1" applyBorder="1" applyAlignment="1">
      <alignment horizontal="right" wrapText="1"/>
    </xf>
    <xf numFmtId="9" fontId="3" fillId="2" borderId="4" xfId="0" applyNumberFormat="1" applyFont="1" applyFill="1" applyBorder="1" applyAlignment="1">
      <alignment horizontal="right" wrapText="1"/>
    </xf>
    <xf numFmtId="9" fontId="3" fillId="2" borderId="36" xfId="0" applyNumberFormat="1" applyFont="1" applyFill="1" applyBorder="1" applyAlignment="1">
      <alignment horizontal="right" wrapText="1"/>
    </xf>
    <xf numFmtId="9" fontId="3" fillId="2" borderId="18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vertical="top" wrapText="1"/>
    </xf>
    <xf numFmtId="9" fontId="3" fillId="0" borderId="4" xfId="0" applyNumberFormat="1" applyFont="1" applyBorder="1" applyAlignment="1">
      <alignment horizontal="right" wrapText="1"/>
    </xf>
    <xf numFmtId="9" fontId="3" fillId="0" borderId="36" xfId="0" applyNumberFormat="1" applyFont="1" applyBorder="1" applyAlignment="1">
      <alignment horizontal="right" wrapText="1"/>
    </xf>
    <xf numFmtId="9" fontId="3" fillId="0" borderId="30" xfId="0" applyNumberFormat="1" applyFont="1" applyBorder="1" applyAlignment="1">
      <alignment horizontal="right" wrapText="1"/>
    </xf>
    <xf numFmtId="41" fontId="3" fillId="0" borderId="26" xfId="0" applyNumberFormat="1" applyFont="1" applyBorder="1" applyAlignment="1">
      <alignment horizontal="right" wrapText="1"/>
    </xf>
    <xf numFmtId="41" fontId="3" fillId="2" borderId="38" xfId="0" applyNumberFormat="1" applyFont="1" applyFill="1" applyBorder="1" applyAlignment="1">
      <alignment horizontal="right" wrapText="1"/>
    </xf>
    <xf numFmtId="168" fontId="3" fillId="3" borderId="39" xfId="0" applyNumberFormat="1" applyFont="1" applyFill="1" applyBorder="1" applyAlignment="1">
      <alignment horizontal="right" wrapText="1"/>
    </xf>
    <xf numFmtId="168" fontId="3" fillId="3" borderId="40" xfId="0" applyNumberFormat="1" applyFont="1" applyFill="1" applyBorder="1" applyAlignment="1">
      <alignment horizontal="right" wrapText="1"/>
    </xf>
    <xf numFmtId="168" fontId="3" fillId="3" borderId="29" xfId="0" applyNumberFormat="1" applyFont="1" applyFill="1" applyBorder="1" applyAlignment="1">
      <alignment horizontal="right" wrapText="1"/>
    </xf>
    <xf numFmtId="9" fontId="3" fillId="3" borderId="28" xfId="0" applyNumberFormat="1" applyFont="1" applyFill="1" applyBorder="1" applyAlignment="1">
      <alignment horizontal="right" wrapText="1"/>
    </xf>
    <xf numFmtId="9" fontId="3" fillId="3" borderId="24" xfId="0" applyNumberFormat="1" applyFont="1" applyFill="1" applyBorder="1" applyAlignment="1">
      <alignment horizontal="right" wrapText="1"/>
    </xf>
    <xf numFmtId="9" fontId="3" fillId="2" borderId="31" xfId="0" applyNumberFormat="1" applyFont="1" applyFill="1" applyBorder="1" applyAlignment="1">
      <alignment horizontal="right" wrapText="1"/>
    </xf>
    <xf numFmtId="41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0" fillId="0" borderId="26" xfId="21" applyBorder="1" applyAlignment="1">
      <alignment horizontal="center" vertical="center"/>
      <protection/>
    </xf>
    <xf numFmtId="0" fontId="10" fillId="0" borderId="26" xfId="21" applyFill="1" applyBorder="1" applyAlignment="1">
      <alignment horizontal="center" wrapText="1"/>
      <protection/>
    </xf>
    <xf numFmtId="170" fontId="10" fillId="0" borderId="26" xfId="21" applyNumberFormat="1" applyBorder="1">
      <alignment/>
      <protection/>
    </xf>
    <xf numFmtId="9" fontId="10" fillId="0" borderId="26" xfId="21" applyNumberFormat="1" applyBorder="1">
      <alignment/>
      <protection/>
    </xf>
    <xf numFmtId="171" fontId="10" fillId="0" borderId="0" xfId="21" applyNumberFormat="1" applyBorder="1">
      <alignment/>
      <protection/>
    </xf>
    <xf numFmtId="3" fontId="8" fillId="0" borderId="26" xfId="0" applyNumberFormat="1" applyFont="1" applyFill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36" xfId="0" applyFont="1" applyBorder="1" applyAlignment="1">
      <alignment horizontal="right" wrapText="1"/>
    </xf>
    <xf numFmtId="0" fontId="14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170" fontId="8" fillId="0" borderId="26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Continuous"/>
    </xf>
    <xf numFmtId="165" fontId="0" fillId="0" borderId="0" xfId="0" applyNumberFormat="1" applyFill="1" applyAlignment="1">
      <alignment/>
    </xf>
    <xf numFmtId="0" fontId="16" fillId="0" borderId="0" xfId="0" applyFont="1" applyAlignment="1">
      <alignment horizontal="left"/>
    </xf>
    <xf numFmtId="0" fontId="12" fillId="0" borderId="0" xfId="0" applyFont="1" applyAlignment="1">
      <alignment/>
    </xf>
    <xf numFmtId="9" fontId="3" fillId="3" borderId="4" xfId="0" applyNumberFormat="1" applyFont="1" applyFill="1" applyBorder="1" applyAlignment="1">
      <alignment horizontal="right" wrapText="1"/>
    </xf>
    <xf numFmtId="168" fontId="3" fillId="0" borderId="26" xfId="0" applyNumberFormat="1" applyFont="1" applyBorder="1" applyAlignment="1">
      <alignment horizontal="right" wrapText="1"/>
    </xf>
    <xf numFmtId="43" fontId="11" fillId="0" borderId="10" xfId="15" applyFont="1" applyBorder="1" applyAlignment="1">
      <alignment horizontal="center" wrapText="1"/>
    </xf>
    <xf numFmtId="43" fontId="4" fillId="0" borderId="16" xfId="15" applyFont="1" applyBorder="1" applyAlignment="1">
      <alignment horizontal="justify" wrapText="1"/>
    </xf>
    <xf numFmtId="165" fontId="3" fillId="0" borderId="5" xfId="15" applyNumberFormat="1" applyFont="1" applyFill="1" applyBorder="1" applyAlignment="1">
      <alignment horizontal="centerContinuous" wrapText="1"/>
    </xf>
    <xf numFmtId="165" fontId="3" fillId="0" borderId="10" xfId="15" applyNumberFormat="1" applyFont="1" applyFill="1" applyBorder="1" applyAlignment="1">
      <alignment horizontal="centerContinuous" wrapText="1"/>
    </xf>
    <xf numFmtId="165" fontId="3" fillId="0" borderId="3" xfId="15" applyNumberFormat="1" applyFont="1" applyBorder="1" applyAlignment="1">
      <alignment horizontal="center" wrapText="1"/>
    </xf>
    <xf numFmtId="165" fontId="3" fillId="0" borderId="42" xfId="15" applyNumberFormat="1" applyFont="1" applyBorder="1" applyAlignment="1">
      <alignment horizontal="right" wrapText="1"/>
    </xf>
    <xf numFmtId="165" fontId="3" fillId="0" borderId="43" xfId="15" applyNumberFormat="1" applyFont="1" applyBorder="1" applyAlignment="1">
      <alignment horizontal="right" wrapText="1"/>
    </xf>
    <xf numFmtId="165" fontId="3" fillId="2" borderId="43" xfId="15" applyNumberFormat="1" applyFont="1" applyFill="1" applyBorder="1" applyAlignment="1">
      <alignment horizontal="right" wrapText="1"/>
    </xf>
    <xf numFmtId="165" fontId="3" fillId="2" borderId="18" xfId="15" applyNumberFormat="1" applyFont="1" applyFill="1" applyBorder="1" applyAlignment="1">
      <alignment horizontal="right" wrapText="1"/>
    </xf>
    <xf numFmtId="165" fontId="3" fillId="0" borderId="18" xfId="15" applyNumberFormat="1" applyFont="1" applyBorder="1" applyAlignment="1">
      <alignment horizontal="right" wrapText="1"/>
    </xf>
    <xf numFmtId="165" fontId="3" fillId="0" borderId="0" xfId="15" applyNumberFormat="1" applyFont="1" applyAlignment="1">
      <alignment horizontal="center"/>
    </xf>
    <xf numFmtId="39" fontId="0" fillId="0" borderId="0" xfId="0" applyNumberFormat="1" applyAlignment="1">
      <alignment/>
    </xf>
    <xf numFmtId="43" fontId="0" fillId="0" borderId="6" xfId="15" applyBorder="1" applyAlignment="1">
      <alignment horizontal="centerContinuous"/>
    </xf>
    <xf numFmtId="43" fontId="3" fillId="0" borderId="10" xfId="15" applyFont="1" applyFill="1" applyBorder="1" applyAlignment="1">
      <alignment horizontal="center" wrapText="1"/>
    </xf>
    <xf numFmtId="43" fontId="3" fillId="0" borderId="3" xfId="15" applyFont="1" applyBorder="1" applyAlignment="1">
      <alignment horizontal="center" wrapText="1"/>
    </xf>
    <xf numFmtId="43" fontId="3" fillId="0" borderId="4" xfId="15" applyFont="1" applyBorder="1" applyAlignment="1">
      <alignment horizontal="right" wrapText="1"/>
    </xf>
    <xf numFmtId="43" fontId="3" fillId="0" borderId="0" xfId="15" applyFont="1" applyAlignment="1">
      <alignment horizontal="center"/>
    </xf>
    <xf numFmtId="4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5" fontId="0" fillId="0" borderId="3" xfId="15" applyNumberFormat="1" applyFill="1" applyBorder="1" applyAlignment="1">
      <alignment horizontal="center"/>
    </xf>
    <xf numFmtId="0" fontId="0" fillId="0" borderId="3" xfId="0" applyBorder="1" applyAlignment="1">
      <alignment horizontal="centerContinuous"/>
    </xf>
    <xf numFmtId="0" fontId="11" fillId="0" borderId="10" xfId="0" applyFont="1" applyBorder="1" applyAlignment="1">
      <alignment horizontal="center" wrapText="1"/>
    </xf>
    <xf numFmtId="165" fontId="4" fillId="0" borderId="16" xfId="15" applyNumberFormat="1" applyFont="1" applyBorder="1" applyAlignment="1">
      <alignment horizontal="justify" wrapText="1"/>
    </xf>
    <xf numFmtId="164" fontId="4" fillId="0" borderId="15" xfId="17" applyNumberFormat="1" applyFont="1" applyBorder="1" applyAlignment="1">
      <alignment horizontal="justify" wrapText="1"/>
    </xf>
    <xf numFmtId="9" fontId="4" fillId="0" borderId="1" xfId="22" applyFont="1" applyBorder="1" applyAlignment="1">
      <alignment horizontal="right" wrapText="1"/>
    </xf>
    <xf numFmtId="164" fontId="0" fillId="0" borderId="0" xfId="17" applyNumberFormat="1" applyFill="1" applyAlignment="1">
      <alignment/>
    </xf>
    <xf numFmtId="164" fontId="4" fillId="2" borderId="19" xfId="17" applyNumberFormat="1" applyFont="1" applyFill="1" applyBorder="1" applyAlignment="1">
      <alignment horizontal="justify" wrapText="1"/>
    </xf>
    <xf numFmtId="9" fontId="4" fillId="2" borderId="1" xfId="22" applyFont="1" applyFill="1" applyBorder="1" applyAlignment="1">
      <alignment horizontal="right" wrapText="1"/>
    </xf>
    <xf numFmtId="164" fontId="4" fillId="0" borderId="19" xfId="17" applyNumberFormat="1" applyFont="1" applyBorder="1" applyAlignment="1">
      <alignment horizontal="justify" wrapText="1"/>
    </xf>
    <xf numFmtId="164" fontId="3" fillId="0" borderId="1" xfId="17" applyNumberFormat="1" applyFont="1" applyFill="1" applyBorder="1" applyAlignment="1">
      <alignment horizontal="justify" vertical="top" wrapText="1"/>
    </xf>
    <xf numFmtId="164" fontId="4" fillId="0" borderId="4" xfId="17" applyNumberFormat="1" applyFont="1" applyFill="1" applyBorder="1" applyAlignment="1">
      <alignment horizontal="justify" wrapText="1"/>
    </xf>
    <xf numFmtId="164" fontId="4" fillId="0" borderId="19" xfId="17" applyNumberFormat="1" applyFont="1" applyFill="1" applyBorder="1" applyAlignment="1">
      <alignment horizontal="justify" wrapText="1"/>
    </xf>
    <xf numFmtId="9" fontId="4" fillId="0" borderId="1" xfId="22" applyFont="1" applyFill="1" applyBorder="1" applyAlignment="1">
      <alignment horizontal="right" wrapText="1"/>
    </xf>
    <xf numFmtId="164" fontId="4" fillId="2" borderId="4" xfId="17" applyNumberFormat="1" applyFont="1" applyFill="1" applyBorder="1" applyAlignment="1">
      <alignment horizontal="justify" wrapText="1"/>
    </xf>
    <xf numFmtId="164" fontId="4" fillId="2" borderId="20" xfId="17" applyNumberFormat="1" applyFont="1" applyFill="1" applyBorder="1" applyAlignment="1">
      <alignment horizontal="justify" wrapText="1"/>
    </xf>
    <xf numFmtId="164" fontId="4" fillId="0" borderId="20" xfId="17" applyNumberFormat="1" applyFont="1" applyBorder="1" applyAlignment="1">
      <alignment horizontal="justify" wrapText="1"/>
    </xf>
    <xf numFmtId="164" fontId="4" fillId="2" borderId="27" xfId="17" applyNumberFormat="1" applyFont="1" applyFill="1" applyBorder="1" applyAlignment="1">
      <alignment horizontal="justify" wrapText="1"/>
    </xf>
    <xf numFmtId="9" fontId="4" fillId="2" borderId="10" xfId="22" applyFont="1" applyFill="1" applyBorder="1" applyAlignment="1">
      <alignment horizontal="right" wrapText="1"/>
    </xf>
    <xf numFmtId="4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4" fontId="3" fillId="0" borderId="0" xfId="17" applyNumberFormat="1" applyFont="1" applyFill="1" applyBorder="1" applyAlignment="1">
      <alignment horizontal="justify" vertical="top" wrapText="1"/>
    </xf>
    <xf numFmtId="164" fontId="4" fillId="0" borderId="0" xfId="17" applyNumberFormat="1" applyFont="1" applyFill="1" applyBorder="1" applyAlignment="1">
      <alignment horizontal="justify" wrapText="1"/>
    </xf>
    <xf numFmtId="9" fontId="4" fillId="0" borderId="0" xfId="22" applyFont="1" applyFill="1" applyBorder="1" applyAlignment="1">
      <alignment horizontal="right" wrapText="1"/>
    </xf>
    <xf numFmtId="165" fontId="0" fillId="0" borderId="6" xfId="15" applyNumberFormat="1" applyFont="1" applyFill="1" applyBorder="1" applyAlignment="1">
      <alignment horizontal="centerContinuous" wrapText="1"/>
    </xf>
    <xf numFmtId="165" fontId="0" fillId="0" borderId="6" xfId="15" applyNumberFormat="1" applyFill="1" applyBorder="1" applyAlignment="1">
      <alignment horizontal="centerContinuous" wrapText="1"/>
    </xf>
    <xf numFmtId="165" fontId="0" fillId="0" borderId="5" xfId="15" applyNumberFormat="1" applyFont="1" applyFill="1" applyBorder="1" applyAlignment="1">
      <alignment horizontal="centerContinuous" wrapText="1"/>
    </xf>
    <xf numFmtId="165" fontId="3" fillId="0" borderId="15" xfId="15" applyNumberFormat="1" applyFont="1" applyFill="1" applyBorder="1" applyAlignment="1">
      <alignment horizontal="centerContinuous" wrapText="1"/>
    </xf>
    <xf numFmtId="165" fontId="3" fillId="0" borderId="15" xfId="15" applyNumberFormat="1" applyFont="1" applyBorder="1" applyAlignment="1">
      <alignment horizontal="centerContinuous" wrapText="1"/>
    </xf>
    <xf numFmtId="165" fontId="9" fillId="0" borderId="2" xfId="15" applyNumberFormat="1" applyFont="1" applyFill="1" applyBorder="1" applyAlignment="1">
      <alignment horizontal="center" wrapText="1"/>
    </xf>
    <xf numFmtId="165" fontId="9" fillId="0" borderId="2" xfId="15" applyNumberFormat="1" applyFont="1" applyBorder="1" applyAlignment="1">
      <alignment horizontal="center" wrapText="1"/>
    </xf>
    <xf numFmtId="165" fontId="3" fillId="0" borderId="1" xfId="15" applyNumberFormat="1" applyFont="1" applyFill="1" applyBorder="1" applyAlignment="1">
      <alignment horizontal="right" vertical="top" wrapText="1"/>
    </xf>
    <xf numFmtId="43" fontId="0" fillId="0" borderId="6" xfId="15" applyFill="1" applyBorder="1" applyAlignment="1">
      <alignment horizontal="centerContinuous"/>
    </xf>
    <xf numFmtId="165" fontId="0" fillId="0" borderId="7" xfId="15" applyNumberFormat="1" applyFill="1" applyBorder="1" applyAlignment="1">
      <alignment horizontal="centerContinuous"/>
    </xf>
    <xf numFmtId="43" fontId="3" fillId="0" borderId="10" xfId="15" applyFont="1" applyBorder="1" applyAlignment="1">
      <alignment horizontal="justify" wrapText="1"/>
    </xf>
    <xf numFmtId="43" fontId="8" fillId="0" borderId="3" xfId="15" applyFont="1" applyBorder="1" applyAlignment="1">
      <alignment horizontal="center" wrapText="1"/>
    </xf>
    <xf numFmtId="43" fontId="3" fillId="0" borderId="17" xfId="15" applyFont="1" applyBorder="1" applyAlignment="1">
      <alignment horizontal="right" wrapText="1"/>
    </xf>
    <xf numFmtId="41" fontId="3" fillId="0" borderId="37" xfId="15" applyNumberFormat="1" applyFont="1" applyFill="1" applyBorder="1" applyAlignment="1">
      <alignment horizontal="right" wrapText="1"/>
    </xf>
    <xf numFmtId="41" fontId="3" fillId="3" borderId="33" xfId="15" applyNumberFormat="1" applyFont="1" applyFill="1" applyBorder="1" applyAlignment="1">
      <alignment horizontal="right" wrapText="1"/>
    </xf>
    <xf numFmtId="41" fontId="3" fillId="0" borderId="38" xfId="0" applyNumberFormat="1" applyFont="1" applyBorder="1" applyAlignment="1">
      <alignment horizontal="right" wrapText="1"/>
    </xf>
    <xf numFmtId="41" fontId="3" fillId="0" borderId="43" xfId="0" applyNumberFormat="1" applyFont="1" applyBorder="1" applyAlignment="1">
      <alignment horizontal="right" wrapText="1"/>
    </xf>
    <xf numFmtId="41" fontId="3" fillId="2" borderId="43" xfId="0" applyNumberFormat="1" applyFont="1" applyFill="1" applyBorder="1" applyAlignment="1">
      <alignment horizontal="right" wrapText="1"/>
    </xf>
    <xf numFmtId="41" fontId="3" fillId="2" borderId="37" xfId="15" applyNumberFormat="1" applyFont="1" applyFill="1" applyBorder="1" applyAlignment="1">
      <alignment horizontal="right" wrapText="1"/>
    </xf>
    <xf numFmtId="41" fontId="3" fillId="0" borderId="37" xfId="15" applyNumberFormat="1" applyFont="1" applyBorder="1" applyAlignment="1">
      <alignment horizontal="right" wrapText="1"/>
    </xf>
    <xf numFmtId="168" fontId="3" fillId="2" borderId="26" xfId="0" applyNumberFormat="1" applyFont="1" applyFill="1" applyBorder="1" applyAlignment="1">
      <alignment horizontal="right" wrapText="1"/>
    </xf>
    <xf numFmtId="43" fontId="3" fillId="0" borderId="37" xfId="15" applyFont="1" applyBorder="1" applyAlignment="1">
      <alignment horizontal="right" wrapText="1"/>
    </xf>
    <xf numFmtId="41" fontId="3" fillId="0" borderId="44" xfId="0" applyNumberFormat="1" applyFont="1" applyBorder="1" applyAlignment="1">
      <alignment horizontal="right" wrapText="1"/>
    </xf>
    <xf numFmtId="0" fontId="3" fillId="0" borderId="2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8" fontId="3" fillId="3" borderId="39" xfId="15" applyNumberFormat="1" applyFont="1" applyFill="1" applyBorder="1" applyAlignment="1">
      <alignment horizontal="right" wrapText="1"/>
    </xf>
    <xf numFmtId="168" fontId="3" fillId="3" borderId="40" xfId="15" applyNumberFormat="1" applyFont="1" applyFill="1" applyBorder="1" applyAlignment="1">
      <alignment horizontal="right" wrapText="1"/>
    </xf>
    <xf numFmtId="165" fontId="0" fillId="0" borderId="0" xfId="15" applyNumberFormat="1" applyAlignment="1">
      <alignment/>
    </xf>
    <xf numFmtId="41" fontId="6" fillId="0" borderId="0" xfId="20" applyNumberFormat="1" applyAlignment="1">
      <alignment horizontal="center"/>
    </xf>
    <xf numFmtId="170" fontId="8" fillId="0" borderId="26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2" fontId="8" fillId="0" borderId="22" xfId="0" applyNumberFormat="1" applyFont="1" applyBorder="1" applyAlignment="1">
      <alignment/>
    </xf>
    <xf numFmtId="172" fontId="8" fillId="0" borderId="44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0" fontId="8" fillId="0" borderId="45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72" fontId="8" fillId="0" borderId="44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10" fontId="8" fillId="0" borderId="23" xfId="0" applyNumberFormat="1" applyFont="1" applyFill="1" applyBorder="1" applyAlignment="1">
      <alignment/>
    </xf>
    <xf numFmtId="170" fontId="10" fillId="0" borderId="0" xfId="21" applyNumberFormat="1">
      <alignment/>
      <protection/>
    </xf>
    <xf numFmtId="165" fontId="3" fillId="0" borderId="44" xfId="15" applyNumberFormat="1" applyFont="1" applyFill="1" applyBorder="1" applyAlignment="1">
      <alignment horizontal="right" vertical="top" wrapText="1"/>
    </xf>
    <xf numFmtId="165" fontId="3" fillId="0" borderId="15" xfId="15" applyNumberFormat="1" applyFont="1" applyFill="1" applyBorder="1" applyAlignment="1">
      <alignment horizontal="right" vertical="top" wrapText="1"/>
    </xf>
    <xf numFmtId="165" fontId="3" fillId="0" borderId="2" xfId="15" applyNumberFormat="1" applyFont="1" applyFill="1" applyBorder="1" applyAlignment="1">
      <alignment horizontal="right" vertical="top" wrapText="1"/>
    </xf>
    <xf numFmtId="43" fontId="9" fillId="0" borderId="0" xfId="15" applyFont="1" applyAlignment="1">
      <alignment/>
    </xf>
    <xf numFmtId="43" fontId="0" fillId="0" borderId="0" xfId="15" applyFill="1" applyAlignment="1">
      <alignment/>
    </xf>
    <xf numFmtId="43" fontId="0" fillId="0" borderId="7" xfId="15" applyFill="1" applyBorder="1" applyAlignment="1">
      <alignment horizontal="centerContinuous"/>
    </xf>
    <xf numFmtId="43" fontId="3" fillId="0" borderId="13" xfId="15" applyFont="1" applyBorder="1" applyAlignment="1">
      <alignment horizontal="right" wrapText="1"/>
    </xf>
    <xf numFmtId="43" fontId="3" fillId="0" borderId="17" xfId="15" applyFont="1" applyFill="1" applyBorder="1" applyAlignment="1">
      <alignment horizontal="right" wrapText="1"/>
    </xf>
    <xf numFmtId="43" fontId="3" fillId="2" borderId="17" xfId="15" applyFont="1" applyFill="1" applyBorder="1" applyAlignment="1">
      <alignment horizontal="right" wrapText="1"/>
    </xf>
    <xf numFmtId="43" fontId="3" fillId="0" borderId="5" xfId="15" applyFont="1" applyBorder="1" applyAlignment="1">
      <alignment horizontal="centerContinuous" wrapText="1"/>
    </xf>
    <xf numFmtId="43" fontId="4" fillId="0" borderId="0" xfId="15" applyFont="1" applyFill="1" applyBorder="1" applyAlignment="1">
      <alignment horizontal="centerContinuous" vertical="top" wrapText="1"/>
    </xf>
    <xf numFmtId="43" fontId="18" fillId="0" borderId="0" xfId="15" applyFont="1" applyAlignment="1">
      <alignment/>
    </xf>
    <xf numFmtId="43" fontId="4" fillId="0" borderId="0" xfId="15" applyFont="1" applyFill="1" applyBorder="1" applyAlignment="1">
      <alignment horizontal="justify" wrapText="1"/>
    </xf>
    <xf numFmtId="165" fontId="3" fillId="0" borderId="1" xfId="15" applyNumberFormat="1" applyFont="1" applyFill="1" applyBorder="1" applyAlignment="1">
      <alignment vertical="top" wrapText="1"/>
    </xf>
    <xf numFmtId="164" fontId="0" fillId="0" borderId="0" xfId="17" applyNumberFormat="1" applyFont="1" applyFill="1" applyAlignment="1">
      <alignment/>
    </xf>
    <xf numFmtId="165" fontId="9" fillId="0" borderId="0" xfId="0" applyNumberFormat="1" applyFont="1" applyAlignment="1">
      <alignment/>
    </xf>
    <xf numFmtId="43" fontId="9" fillId="0" borderId="0" xfId="15" applyFont="1" applyAlignment="1" quotePrefix="1">
      <alignment/>
    </xf>
    <xf numFmtId="0" fontId="0" fillId="0" borderId="0" xfId="0" applyAlignment="1" quotePrefix="1">
      <alignment/>
    </xf>
    <xf numFmtId="43" fontId="0" fillId="0" borderId="0" xfId="0" applyNumberFormat="1" applyAlignment="1" quotePrefix="1">
      <alignment/>
    </xf>
    <xf numFmtId="43" fontId="3" fillId="0" borderId="5" xfId="0" applyNumberFormat="1" applyFont="1" applyBorder="1" applyAlignment="1">
      <alignment horizontal="justify" wrapText="1"/>
    </xf>
    <xf numFmtId="43" fontId="19" fillId="0" borderId="0" xfId="0" applyNumberFormat="1" applyFont="1" applyAlignment="1">
      <alignment/>
    </xf>
    <xf numFmtId="43" fontId="19" fillId="0" borderId="0" xfId="15" applyFont="1" applyAlignment="1">
      <alignment/>
    </xf>
    <xf numFmtId="3" fontId="9" fillId="0" borderId="0" xfId="0" applyNumberFormat="1" applyFont="1" applyAlignment="1">
      <alignment/>
    </xf>
    <xf numFmtId="41" fontId="3" fillId="0" borderId="20" xfId="15" applyNumberFormat="1" applyFont="1" applyFill="1" applyBorder="1" applyAlignment="1">
      <alignment horizontal="right" wrapText="1"/>
    </xf>
    <xf numFmtId="41" fontId="3" fillId="0" borderId="4" xfId="15" applyNumberFormat="1" applyFont="1" applyFill="1" applyBorder="1" applyAlignment="1">
      <alignment horizontal="right" wrapText="1"/>
    </xf>
    <xf numFmtId="41" fontId="3" fillId="3" borderId="20" xfId="15" applyNumberFormat="1" applyFont="1" applyFill="1" applyBorder="1" applyAlignment="1">
      <alignment horizontal="right" wrapText="1"/>
    </xf>
    <xf numFmtId="43" fontId="3" fillId="2" borderId="44" xfId="15" applyFont="1" applyFill="1" applyBorder="1" applyAlignment="1">
      <alignment horizontal="right" wrapText="1"/>
    </xf>
    <xf numFmtId="43" fontId="3" fillId="0" borderId="44" xfId="15" applyFont="1" applyFill="1" applyBorder="1" applyAlignment="1">
      <alignment horizontal="right" wrapText="1"/>
    </xf>
    <xf numFmtId="41" fontId="3" fillId="2" borderId="4" xfId="15" applyNumberFormat="1" applyFont="1" applyFill="1" applyBorder="1" applyAlignment="1">
      <alignment horizontal="right" wrapText="1"/>
    </xf>
    <xf numFmtId="41" fontId="3" fillId="0" borderId="4" xfId="15" applyNumberFormat="1" applyFont="1" applyBorder="1" applyAlignment="1">
      <alignment horizontal="right" wrapText="1"/>
    </xf>
    <xf numFmtId="168" fontId="3" fillId="3" borderId="46" xfId="15" applyNumberFormat="1" applyFont="1" applyFill="1" applyBorder="1" applyAlignment="1">
      <alignment horizontal="right" wrapText="1"/>
    </xf>
    <xf numFmtId="0" fontId="1" fillId="0" borderId="47" xfId="0" applyFont="1" applyBorder="1" applyAlignment="1">
      <alignment horizontal="center" wrapText="1"/>
    </xf>
    <xf numFmtId="165" fontId="0" fillId="0" borderId="3" xfId="15" applyNumberForma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43" fontId="3" fillId="0" borderId="6" xfId="15" applyFont="1" applyFill="1" applyBorder="1" applyAlignment="1">
      <alignment horizontal="center" wrapText="1"/>
    </xf>
    <xf numFmtId="43" fontId="3" fillId="0" borderId="8" xfId="15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3" fillId="0" borderId="41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3" fillId="0" borderId="52" xfId="0" applyNumberFormat="1" applyFont="1" applyBorder="1" applyAlignment="1">
      <alignment horizontal="center" vertical="top" wrapText="1"/>
    </xf>
    <xf numFmtId="0" fontId="13" fillId="0" borderId="37" xfId="0" applyNumberFormat="1" applyFont="1" applyBorder="1" applyAlignment="1">
      <alignment horizontal="center" vertical="top" wrapText="1"/>
    </xf>
    <xf numFmtId="0" fontId="13" fillId="0" borderId="17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47" xfId="0" applyFont="1" applyFill="1" applyBorder="1" applyAlignment="1">
      <alignment horizontal="center" wrapText="1"/>
    </xf>
    <xf numFmtId="0" fontId="10" fillId="0" borderId="41" xfId="21" applyFont="1" applyBorder="1" applyAlignment="1">
      <alignment horizontal="center"/>
      <protection/>
    </xf>
    <xf numFmtId="0" fontId="10" fillId="0" borderId="48" xfId="21" applyFont="1" applyBorder="1" applyAlignment="1">
      <alignment horizontal="center"/>
      <protection/>
    </xf>
    <xf numFmtId="0" fontId="10" fillId="0" borderId="49" xfId="21" applyFont="1" applyBorder="1" applyAlignment="1">
      <alignment horizontal="center"/>
      <protection/>
    </xf>
    <xf numFmtId="0" fontId="10" fillId="0" borderId="52" xfId="21" applyNumberFormat="1" applyFont="1" applyBorder="1" applyAlignment="1">
      <alignment horizontal="center"/>
      <protection/>
    </xf>
    <xf numFmtId="0" fontId="10" fillId="0" borderId="37" xfId="21" applyNumberFormat="1" applyFont="1" applyBorder="1" applyAlignment="1">
      <alignment horizontal="center"/>
      <protection/>
    </xf>
    <xf numFmtId="0" fontId="10" fillId="0" borderId="17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652919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ctober%202002\windows\TEMP\Tables%204%20&amp;%205%20Updated%20for%20Octo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ctober%202002\DOCUME~1\vjw3\LOCALS~1\Temp\BillSavingsJune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ctober%202002\DOCUME~1\vjw3\LOCALS~1\Temp\BillSavingsJuly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ctober%202002\WINDOWS\TEMP\BillSavingsAug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ctober%202002\TEMP\BillSavingsSep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.Lotus.Notes.Data\Per%20Measure%20Saving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esl\LOCALS~1\Temp\notesFFF692\Table%2010.1%20through%20Januar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 LIEE Measure Instal."/>
      <sheetName val="Per Measure Savings"/>
      <sheetName val="Energy Rate"/>
      <sheetName val="Life Cycle Calcs"/>
      <sheetName val="Tbl 4 - LIEE"/>
      <sheetName val="Tbl 5 -LIEE"/>
      <sheetName val="Tbl 5.1 -LIEE"/>
      <sheetName val="Table 5A Bill Savings"/>
      <sheetName val="Table 13 August"/>
      <sheetName val="Life Cycle Calcs Base (m)"/>
      <sheetName val="Life Cycle Calcs Base (a)"/>
    </sheetNames>
    <sheetDataSet>
      <sheetData sheetId="2">
        <row r="44">
          <cell r="C44">
            <v>0.0815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EE Program Expenses"/>
      <sheetName val="LIEE Contractor Report"/>
      <sheetName val="LIEE Contractor Legend"/>
      <sheetName val="LIEE Direct Purchase &amp; Admin"/>
      <sheetName val="Table 4 Measure Installation "/>
      <sheetName val="Table 5 Measure Savings"/>
      <sheetName val="Table 5A Bill Savings"/>
      <sheetName val="Table 5B 5C 5D Summary"/>
      <sheetName val="Ta 13a Gas Rural"/>
      <sheetName val="Ta 13b E Rural"/>
      <sheetName val="Ta 13c Combined Rural"/>
      <sheetName val="Ta 13d Gas Urban"/>
      <sheetName val="Ta 13e Electric Urban"/>
      <sheetName val="Ta 13f Combin Urban"/>
      <sheetName val="Ta 13g Urban Summary"/>
      <sheetName val="Ta 13h Rural summary"/>
      <sheetName val="Ta 13i LIEE Penetration"/>
      <sheetName val="LIEE Direct Purchases &amp; Admin."/>
      <sheetName val="Table 4 Measure Installation"/>
      <sheetName val="Ta13a Gas Rural"/>
      <sheetName val="Ta 13b Electric Rural"/>
      <sheetName val="Ta 13f Combined Urban"/>
      <sheetName val="Key to Tables"/>
      <sheetName val="Table 4 Measure Installations"/>
      <sheetName val="Per Measure Savings"/>
      <sheetName val="Energy Rates"/>
      <sheetName val="Life Cycle Calcs"/>
      <sheetName val="Table 4 Measure Installatio (2)"/>
      <sheetName val="Table 5 Measure Savings (2)"/>
      <sheetName val="Table 5A Bill Savings (2)"/>
    </sheetNames>
    <sheetDataSet>
      <sheetData sheetId="22">
        <row r="15">
          <cell r="B15" t="str">
            <v>June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Table 4 Measure Installations"/>
      <sheetName val="Per Measure Savings"/>
      <sheetName val="Table 5 Measure Savings"/>
      <sheetName val="Energy Rates"/>
      <sheetName val="Life Cycle Calcs"/>
      <sheetName val="Table 5A Bill Savings"/>
      <sheetName val="Table 4 Measure Installatio (2)"/>
      <sheetName val="Table 5 Measure Savings (2)"/>
      <sheetName val="Table 5A Bill Savings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 Tab 6"/>
      <sheetName val="Tab 6 (per Customer)"/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Table 5B Bill Savings (YTD)"/>
      <sheetName val="Table 4 Measure Installatio (2)"/>
      <sheetName val="Table 5 Measure Savings (2)"/>
      <sheetName val="Table 5A Bill Savings (2)"/>
      <sheetName val="Sum Tab 6 (2)"/>
    </sheetNames>
    <sheetDataSet>
      <sheetData sheetId="2">
        <row r="16">
          <cell r="B16">
            <v>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>
        <row r="17">
          <cell r="B17">
            <v>0.11589</v>
          </cell>
        </row>
        <row r="18">
          <cell r="B18">
            <v>0.51847</v>
          </cell>
        </row>
        <row r="19">
          <cell r="B19">
            <v>5100</v>
          </cell>
        </row>
      </sheetData>
      <sheetData sheetId="1">
        <row r="5">
          <cell r="D5">
            <v>342</v>
          </cell>
        </row>
        <row r="6">
          <cell r="D6">
            <v>80</v>
          </cell>
        </row>
        <row r="7">
          <cell r="D7">
            <v>0</v>
          </cell>
        </row>
        <row r="8">
          <cell r="D8">
            <v>102</v>
          </cell>
        </row>
        <row r="9">
          <cell r="D9">
            <v>17</v>
          </cell>
        </row>
        <row r="12">
          <cell r="D12">
            <v>619</v>
          </cell>
        </row>
        <row r="13">
          <cell r="D13">
            <v>616</v>
          </cell>
        </row>
        <row r="14">
          <cell r="D14">
            <v>159</v>
          </cell>
        </row>
        <row r="17">
          <cell r="D17">
            <v>590</v>
          </cell>
        </row>
        <row r="18">
          <cell r="D18">
            <v>458</v>
          </cell>
        </row>
        <row r="19">
          <cell r="D19">
            <v>151</v>
          </cell>
        </row>
        <row r="20">
          <cell r="D20">
            <v>124</v>
          </cell>
        </row>
        <row r="21">
          <cell r="D21">
            <v>1504</v>
          </cell>
        </row>
        <row r="22">
          <cell r="D22">
            <v>355</v>
          </cell>
        </row>
        <row r="23">
          <cell r="D23">
            <v>195</v>
          </cell>
        </row>
        <row r="24">
          <cell r="D24">
            <v>120</v>
          </cell>
        </row>
        <row r="25">
          <cell r="D25">
            <v>1248</v>
          </cell>
        </row>
        <row r="26">
          <cell r="D26">
            <v>552</v>
          </cell>
        </row>
        <row r="27">
          <cell r="D27">
            <v>383</v>
          </cell>
        </row>
        <row r="28">
          <cell r="D28">
            <v>110</v>
          </cell>
        </row>
        <row r="29">
          <cell r="D29">
            <v>1338</v>
          </cell>
        </row>
        <row r="30">
          <cell r="D30">
            <v>340</v>
          </cell>
        </row>
        <row r="31">
          <cell r="D31">
            <v>630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214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40</v>
          </cell>
        </row>
        <row r="38">
          <cell r="D38">
            <v>27</v>
          </cell>
        </row>
        <row r="39">
          <cell r="D39">
            <v>20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7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27</v>
          </cell>
        </row>
        <row r="54">
          <cell r="D54">
            <v>0</v>
          </cell>
        </row>
        <row r="55">
          <cell r="D55">
            <v>10</v>
          </cell>
        </row>
        <row r="58">
          <cell r="D58">
            <v>1</v>
          </cell>
        </row>
        <row r="59">
          <cell r="D59">
            <v>0</v>
          </cell>
        </row>
        <row r="60">
          <cell r="D60">
            <v>1</v>
          </cell>
        </row>
        <row r="62">
          <cell r="D62">
            <v>4452</v>
          </cell>
        </row>
        <row r="63">
          <cell r="D63">
            <v>1952</v>
          </cell>
        </row>
      </sheetData>
      <sheetData sheetId="2">
        <row r="8">
          <cell r="L8">
            <v>0.91</v>
          </cell>
          <cell r="M8">
            <v>0.916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er Measure Saving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0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tabSelected="1" zoomScale="90" zoomScaleNormal="90" workbookViewId="0" topLeftCell="A1">
      <selection activeCell="A1" sqref="A1:E1"/>
    </sheetView>
  </sheetViews>
  <sheetFormatPr defaultColWidth="9.140625" defaultRowHeight="12.75"/>
  <cols>
    <col min="1" max="1" width="20.28125" style="0" customWidth="1"/>
    <col min="2" max="2" width="13.28125" style="13" customWidth="1"/>
    <col min="3" max="3" width="12.421875" style="0" customWidth="1"/>
    <col min="4" max="4" width="13.00390625" style="0" customWidth="1"/>
    <col min="5" max="5" width="19.57421875" style="0" customWidth="1"/>
    <col min="6" max="16384" width="40.57421875" style="43" customWidth="1"/>
  </cols>
  <sheetData>
    <row r="1" spans="1:5" ht="34.5" customHeight="1" thickBot="1">
      <c r="A1" s="268" t="s">
        <v>209</v>
      </c>
      <c r="B1" s="268"/>
      <c r="C1" s="268"/>
      <c r="D1" s="268"/>
      <c r="E1" s="268"/>
    </row>
    <row r="2" spans="1:5" ht="13.5" thickBot="1">
      <c r="A2" s="4"/>
      <c r="B2" s="164" t="s">
        <v>33</v>
      </c>
      <c r="C2" s="8" t="s">
        <v>0</v>
      </c>
      <c r="D2" s="8" t="s">
        <v>1</v>
      </c>
      <c r="E2" s="172" t="s">
        <v>2</v>
      </c>
    </row>
    <row r="3" spans="1:5" ht="23.25" customHeight="1">
      <c r="A3" s="7" t="s">
        <v>3</v>
      </c>
      <c r="B3" s="246" t="s">
        <v>4</v>
      </c>
      <c r="C3" s="6" t="s">
        <v>34</v>
      </c>
      <c r="D3" s="6" t="s">
        <v>6</v>
      </c>
      <c r="E3" s="6" t="s">
        <v>4</v>
      </c>
    </row>
    <row r="4" spans="1:5" ht="23.25" customHeight="1" thickBot="1">
      <c r="A4" s="173" t="s">
        <v>100</v>
      </c>
      <c r="B4" s="152" t="s">
        <v>111</v>
      </c>
      <c r="C4" s="173" t="s">
        <v>102</v>
      </c>
      <c r="D4" s="173" t="s">
        <v>103</v>
      </c>
      <c r="E4" s="173" t="s">
        <v>104</v>
      </c>
    </row>
    <row r="5" spans="1:5" ht="12.75" customHeight="1">
      <c r="A5" s="1" t="s">
        <v>7</v>
      </c>
      <c r="B5" s="153"/>
      <c r="C5" s="153"/>
      <c r="D5" s="174"/>
      <c r="E5" s="175"/>
    </row>
    <row r="6" spans="1:5" ht="12.75" customHeight="1">
      <c r="A6" s="1" t="s">
        <v>8</v>
      </c>
      <c r="B6" s="5">
        <v>0</v>
      </c>
      <c r="C6" s="5">
        <v>0</v>
      </c>
      <c r="D6" s="5">
        <v>0</v>
      </c>
      <c r="E6" s="176" t="s">
        <v>35</v>
      </c>
    </row>
    <row r="7" spans="1:5" s="177" customFormat="1" ht="12.75" customHeight="1">
      <c r="A7" s="12" t="s">
        <v>137</v>
      </c>
      <c r="B7" s="5">
        <f>2465229.21-B8-B9-B10-B22</f>
        <v>2124747.2</v>
      </c>
      <c r="C7" s="5">
        <f>+B7+269618.88+969659.72+886630.83+509733.01+913967.38+1953216.54+2491367.18</f>
        <v>10118940.74</v>
      </c>
      <c r="D7" s="5">
        <v>20971520</v>
      </c>
      <c r="E7" s="176">
        <f>+C7/D7</f>
        <v>0.4825086946487427</v>
      </c>
    </row>
    <row r="8" spans="1:6" s="177" customFormat="1" ht="12.75" customHeight="1">
      <c r="A8" s="12" t="s">
        <v>9</v>
      </c>
      <c r="B8" s="5">
        <v>4567.01</v>
      </c>
      <c r="C8" s="5">
        <f>+B8+1579.08+646.5+3380.53+2931.17+722023.89-712468.4+6232.03</f>
        <v>28891.810000000027</v>
      </c>
      <c r="D8" s="5">
        <v>394450</v>
      </c>
      <c r="E8" s="176">
        <f>+C8/D8</f>
        <v>0.07324581062238567</v>
      </c>
      <c r="F8" s="241"/>
    </row>
    <row r="9" spans="1:6" s="177" customFormat="1" ht="12.75" customHeight="1">
      <c r="A9" s="12" t="s">
        <v>10</v>
      </c>
      <c r="B9" s="5">
        <v>282825</v>
      </c>
      <c r="C9" s="5">
        <f>+B9+27814.72+203235.91+181449.14+162560.25+161374.06+189036.32+458771.89</f>
        <v>1667067.29</v>
      </c>
      <c r="D9" s="5">
        <v>2817745</v>
      </c>
      <c r="E9" s="176">
        <f>+C9/D9</f>
        <v>0.591631709043934</v>
      </c>
      <c r="F9" s="241"/>
    </row>
    <row r="10" spans="1:6" s="177" customFormat="1" ht="12.75" customHeight="1">
      <c r="A10" s="12" t="s">
        <v>11</v>
      </c>
      <c r="B10" s="5">
        <v>37650</v>
      </c>
      <c r="C10" s="5">
        <f>+B10+10785+86430+38055+50775+46890+31410+63825</f>
        <v>365820</v>
      </c>
      <c r="D10" s="5">
        <v>518400</v>
      </c>
      <c r="E10" s="176">
        <f>+C10/D10</f>
        <v>0.7056712962962963</v>
      </c>
      <c r="F10" s="241"/>
    </row>
    <row r="11" spans="1:5" s="177" customFormat="1" ht="12.75" customHeight="1">
      <c r="A11" s="12" t="s">
        <v>12</v>
      </c>
      <c r="B11" s="5">
        <v>0</v>
      </c>
      <c r="C11" s="5">
        <v>0</v>
      </c>
      <c r="D11" s="5">
        <v>0</v>
      </c>
      <c r="E11" s="176" t="s">
        <v>35</v>
      </c>
    </row>
    <row r="12" spans="1:5" s="177" customFormat="1" ht="12.75" customHeight="1">
      <c r="A12" s="12" t="s">
        <v>13</v>
      </c>
      <c r="B12" s="178">
        <f>SUM(B7:B11)</f>
        <v>2449789.21</v>
      </c>
      <c r="C12" s="178">
        <f>SUM(C7:C11)</f>
        <v>12180719.84</v>
      </c>
      <c r="D12" s="178">
        <f>SUM(D7:D11)</f>
        <v>24702115</v>
      </c>
      <c r="E12" s="179">
        <f>+C12/D12</f>
        <v>0.4931043289208232</v>
      </c>
    </row>
    <row r="13" spans="1:6" s="177" customFormat="1" ht="12.75" customHeight="1">
      <c r="A13" s="12" t="s">
        <v>14</v>
      </c>
      <c r="B13" s="5"/>
      <c r="C13" s="5"/>
      <c r="D13" s="180"/>
      <c r="E13" s="176"/>
      <c r="F13" s="241"/>
    </row>
    <row r="14" spans="1:5" s="177" customFormat="1" ht="12.75" customHeight="1">
      <c r="A14" s="12" t="s">
        <v>15</v>
      </c>
      <c r="B14" s="5">
        <v>0</v>
      </c>
      <c r="C14" s="5">
        <v>0</v>
      </c>
      <c r="D14" s="180">
        <v>0</v>
      </c>
      <c r="E14" s="176">
        <v>0</v>
      </c>
    </row>
    <row r="15" spans="1:6" s="177" customFormat="1" ht="12.75" customHeight="1">
      <c r="A15" s="12" t="s">
        <v>16</v>
      </c>
      <c r="B15" s="5">
        <v>0</v>
      </c>
      <c r="C15" s="5">
        <v>0</v>
      </c>
      <c r="D15" s="180">
        <v>0</v>
      </c>
      <c r="E15" s="176">
        <v>0</v>
      </c>
      <c r="F15" s="241"/>
    </row>
    <row r="16" spans="1:5" s="177" customFormat="1" ht="12.75" customHeight="1">
      <c r="A16" s="12" t="s">
        <v>17</v>
      </c>
      <c r="B16" s="5">
        <v>0</v>
      </c>
      <c r="C16" s="5">
        <v>0</v>
      </c>
      <c r="D16" s="180">
        <v>0</v>
      </c>
      <c r="E16" s="176">
        <v>0</v>
      </c>
    </row>
    <row r="17" spans="1:5" s="177" customFormat="1" ht="12.75" customHeight="1">
      <c r="A17" s="12" t="s">
        <v>18</v>
      </c>
      <c r="B17" s="5"/>
      <c r="C17" s="5"/>
      <c r="D17" s="180"/>
      <c r="E17" s="176"/>
    </row>
    <row r="18" spans="1:5" s="177" customFormat="1" ht="12.75" customHeight="1">
      <c r="A18" s="12" t="s">
        <v>87</v>
      </c>
      <c r="B18" s="5">
        <v>0</v>
      </c>
      <c r="C18" s="5">
        <v>0</v>
      </c>
      <c r="D18" s="180">
        <v>0</v>
      </c>
      <c r="E18" s="176">
        <v>0</v>
      </c>
    </row>
    <row r="19" spans="1:5" s="177" customFormat="1" ht="12.75" customHeight="1">
      <c r="A19" s="181" t="s">
        <v>182</v>
      </c>
      <c r="B19" s="182">
        <v>0</v>
      </c>
      <c r="C19" s="182">
        <v>0</v>
      </c>
      <c r="D19" s="183">
        <v>0</v>
      </c>
      <c r="E19" s="184">
        <v>0</v>
      </c>
    </row>
    <row r="20" spans="1:6" s="177" customFormat="1" ht="12.75" customHeight="1">
      <c r="A20" s="12" t="s">
        <v>19</v>
      </c>
      <c r="B20" s="185">
        <v>0</v>
      </c>
      <c r="C20" s="185">
        <v>0</v>
      </c>
      <c r="D20" s="178">
        <v>0</v>
      </c>
      <c r="E20" s="179">
        <v>0</v>
      </c>
      <c r="F20" s="251"/>
    </row>
    <row r="21" spans="1:5" s="177" customFormat="1" ht="12.75" customHeight="1">
      <c r="A21" s="12" t="s">
        <v>112</v>
      </c>
      <c r="B21" s="5">
        <v>0</v>
      </c>
      <c r="C21" s="5">
        <v>0</v>
      </c>
      <c r="D21" s="5">
        <v>20000</v>
      </c>
      <c r="E21" s="176">
        <v>0</v>
      </c>
    </row>
    <row r="22" spans="1:5" s="177" customFormat="1" ht="12.75" customHeight="1">
      <c r="A22" s="12" t="s">
        <v>20</v>
      </c>
      <c r="B22" s="5">
        <v>15440</v>
      </c>
      <c r="C22" s="5">
        <f>+B22+10388+16280+360+7508.33+13200+7400</f>
        <v>70576.33</v>
      </c>
      <c r="D22" s="5">
        <v>555000</v>
      </c>
      <c r="E22" s="176">
        <f>+C22/D22</f>
        <v>0.12716455855855857</v>
      </c>
    </row>
    <row r="23" spans="1:6" s="177" customFormat="1" ht="12.75" customHeight="1">
      <c r="A23" s="12" t="s">
        <v>21</v>
      </c>
      <c r="B23" s="5">
        <v>0</v>
      </c>
      <c r="C23" s="5">
        <f aca="true" t="shared" si="0" ref="C23:C32">+B23</f>
        <v>0</v>
      </c>
      <c r="D23" s="5">
        <v>15000</v>
      </c>
      <c r="E23" s="176">
        <v>0</v>
      </c>
      <c r="F23" s="251"/>
    </row>
    <row r="24" spans="1:5" s="177" customFormat="1" ht="12.75" customHeight="1">
      <c r="A24" s="12" t="s">
        <v>22</v>
      </c>
      <c r="B24" s="5">
        <v>444.05</v>
      </c>
      <c r="C24" s="5">
        <f>+B24+579.85+22339.72+7938.77+503.04+934.82+35240.95-404.59</f>
        <v>67576.61</v>
      </c>
      <c r="D24" s="5">
        <v>195000</v>
      </c>
      <c r="E24" s="176">
        <f>+C24/D24</f>
        <v>0.34654671794871794</v>
      </c>
    </row>
    <row r="25" spans="1:5" s="177" customFormat="1" ht="12.75" customHeight="1">
      <c r="A25" s="12" t="s">
        <v>23</v>
      </c>
      <c r="B25" s="5">
        <v>4633.22</v>
      </c>
      <c r="C25" s="5">
        <f>+B25+5058.9+5284.45+6283.07+4869.07+6812.92+6283.04+4146.87</f>
        <v>43371.54</v>
      </c>
      <c r="D25" s="5">
        <v>70000</v>
      </c>
      <c r="E25" s="176">
        <f>+C25/D25</f>
        <v>0.6195934285714286</v>
      </c>
    </row>
    <row r="26" spans="1:6" s="177" customFormat="1" ht="12.75" customHeight="1">
      <c r="A26" s="12" t="s">
        <v>24</v>
      </c>
      <c r="B26" s="5">
        <f>69.64+2002+3625+47751.11+561.66+4250.6+9888.91+4111.94+22997.77+27266.33+63453.14+11047.61+108.15+3943.04+17820.84+1085.82+3028.58-(174.08+870.4+848.64+435.2+435.2)+6301</f>
        <v>226549.62000000002</v>
      </c>
      <c r="C26" s="5">
        <f>+B26+49431.02+131268.31+106310.51+188783.76+171444.74+224427.12+180269.77</f>
        <v>1278484.85</v>
      </c>
      <c r="D26" s="5">
        <v>1772885</v>
      </c>
      <c r="E26" s="176">
        <f>+C26/D26</f>
        <v>0.7211324197564987</v>
      </c>
      <c r="F26" s="241"/>
    </row>
    <row r="27" spans="1:5" s="177" customFormat="1" ht="12.75" customHeight="1">
      <c r="A27" s="12" t="s">
        <v>25</v>
      </c>
      <c r="B27" s="5">
        <f>+(3626.07+325.79+63453.14)*0.56</f>
        <v>37746.8</v>
      </c>
      <c r="C27" s="5">
        <f>+B27+6109.75+25582.78+25865.83+29101.02+42238+16324.13+34970.64</f>
        <v>217938.95</v>
      </c>
      <c r="D27" s="5">
        <v>0</v>
      </c>
      <c r="E27" s="176" t="s">
        <v>35</v>
      </c>
    </row>
    <row r="28" spans="1:5" s="177" customFormat="1" ht="12.75" customHeight="1">
      <c r="A28" s="12" t="s">
        <v>26</v>
      </c>
      <c r="B28" s="5"/>
      <c r="C28" s="5"/>
      <c r="D28" s="5"/>
      <c r="E28" s="176"/>
    </row>
    <row r="29" spans="1:5" s="177" customFormat="1" ht="12.75" customHeight="1" hidden="1">
      <c r="A29" s="12" t="s">
        <v>27</v>
      </c>
      <c r="B29" s="5"/>
      <c r="C29" s="5">
        <f t="shared" si="0"/>
        <v>0</v>
      </c>
      <c r="D29" s="5">
        <v>0</v>
      </c>
      <c r="E29" s="176">
        <v>0</v>
      </c>
    </row>
    <row r="30" spans="1:5" s="177" customFormat="1" ht="12.75" customHeight="1" hidden="1">
      <c r="A30" s="12" t="s">
        <v>28</v>
      </c>
      <c r="B30" s="5"/>
      <c r="C30" s="5">
        <f t="shared" si="0"/>
        <v>0</v>
      </c>
      <c r="D30" s="5">
        <v>0</v>
      </c>
      <c r="E30" s="176" t="e">
        <f>+C30/D30</f>
        <v>#DIV/0!</v>
      </c>
    </row>
    <row r="31" spans="1:5" s="177" customFormat="1" ht="12.75" customHeight="1">
      <c r="A31" s="12" t="s">
        <v>169</v>
      </c>
      <c r="B31" s="5">
        <v>0</v>
      </c>
      <c r="C31" s="5">
        <f t="shared" si="0"/>
        <v>0</v>
      </c>
      <c r="D31" s="5">
        <v>0</v>
      </c>
      <c r="E31" s="176" t="s">
        <v>35</v>
      </c>
    </row>
    <row r="32" spans="1:5" s="177" customFormat="1" ht="12.75" customHeight="1">
      <c r="A32" s="12" t="s">
        <v>113</v>
      </c>
      <c r="B32" s="5">
        <v>0</v>
      </c>
      <c r="C32" s="5">
        <f t="shared" si="0"/>
        <v>0</v>
      </c>
      <c r="D32" s="5">
        <v>0</v>
      </c>
      <c r="E32" s="176" t="s">
        <v>35</v>
      </c>
    </row>
    <row r="33" spans="1:5" s="177" customFormat="1" ht="12.75" customHeight="1">
      <c r="A33" s="12" t="s">
        <v>29</v>
      </c>
      <c r="B33" s="5">
        <v>0</v>
      </c>
      <c r="C33" s="5">
        <f>+B33+6480.033+10482.12+1724.4</f>
        <v>18686.553000000004</v>
      </c>
      <c r="D33" s="5">
        <v>70000</v>
      </c>
      <c r="E33" s="176">
        <f>+C33/D33</f>
        <v>0.2669507571428572</v>
      </c>
    </row>
    <row r="34" spans="1:5" s="177" customFormat="1" ht="12.75" customHeight="1">
      <c r="A34" s="12" t="s">
        <v>30</v>
      </c>
      <c r="B34" s="186">
        <f>SUM(B31:B33)</f>
        <v>0</v>
      </c>
      <c r="C34" s="186">
        <f>SUM(C31:C33)</f>
        <v>18686.553000000004</v>
      </c>
      <c r="D34" s="186">
        <f>SUM(D31:D33)</f>
        <v>70000</v>
      </c>
      <c r="E34" s="179">
        <f>+C34/D34</f>
        <v>0.2669507571428572</v>
      </c>
    </row>
    <row r="35" spans="1:5" ht="12.75" customHeight="1">
      <c r="A35" s="2"/>
      <c r="B35" s="187"/>
      <c r="C35" s="187"/>
      <c r="D35" s="180"/>
      <c r="E35" s="176"/>
    </row>
    <row r="36" spans="1:5" ht="17.25" customHeight="1" thickBot="1">
      <c r="A36" s="3" t="s">
        <v>31</v>
      </c>
      <c r="B36" s="188">
        <f>SUM(B20:B27)+B12+B34</f>
        <v>2734602.9</v>
      </c>
      <c r="C36" s="188">
        <f>SUM(C20:C27)+C12+C34</f>
        <v>13877354.672999999</v>
      </c>
      <c r="D36" s="188">
        <f>+D12+SUM(D21:D26)+D34</f>
        <v>27400000</v>
      </c>
      <c r="E36" s="189">
        <f>+C36/D36</f>
        <v>0.5064727982846715</v>
      </c>
    </row>
    <row r="37" spans="1:5" ht="12.75">
      <c r="A37" s="11" t="s">
        <v>195</v>
      </c>
      <c r="B37" s="247"/>
      <c r="C37" s="11"/>
      <c r="D37" s="11"/>
      <c r="E37" s="11"/>
    </row>
    <row r="38" spans="1:5" s="191" customFormat="1" ht="12">
      <c r="A38" s="190"/>
      <c r="B38" s="248"/>
      <c r="C38" s="29"/>
      <c r="D38" s="29"/>
      <c r="E38" s="29"/>
    </row>
    <row r="39" spans="1:5" s="191" customFormat="1" ht="12">
      <c r="A39" s="190" t="s">
        <v>183</v>
      </c>
      <c r="B39" s="248"/>
      <c r="C39" s="29"/>
      <c r="D39" s="29"/>
      <c r="E39" s="29"/>
    </row>
    <row r="40" spans="1:5" s="191" customFormat="1" ht="12">
      <c r="A40" s="29"/>
      <c r="B40" s="248"/>
      <c r="C40" s="29"/>
      <c r="D40" s="29"/>
      <c r="E40" s="29"/>
    </row>
    <row r="41" spans="1:5" s="177" customFormat="1" ht="12.75" customHeight="1">
      <c r="A41" s="192"/>
      <c r="B41" s="249"/>
      <c r="C41" s="193"/>
      <c r="D41" s="193"/>
      <c r="E41" s="194"/>
    </row>
    <row r="42" spans="1:5" s="191" customFormat="1" ht="11.25">
      <c r="A42" s="29"/>
      <c r="B42" s="240"/>
      <c r="C42" s="170"/>
      <c r="D42" s="29"/>
      <c r="E42" s="29"/>
    </row>
    <row r="43" spans="1:5" s="191" customFormat="1" ht="11.25">
      <c r="A43" s="169"/>
      <c r="B43" s="240"/>
      <c r="C43" s="170"/>
      <c r="D43" s="29"/>
      <c r="E43" s="29"/>
    </row>
    <row r="44" spans="1:5" s="191" customFormat="1" ht="11.25">
      <c r="A44" s="169"/>
      <c r="B44" s="240"/>
      <c r="C44" s="170"/>
      <c r="D44" s="29"/>
      <c r="E44" s="29"/>
    </row>
    <row r="45" spans="1:5" s="191" customFormat="1" ht="11.25">
      <c r="A45" s="169"/>
      <c r="B45" s="240"/>
      <c r="C45" s="29"/>
      <c r="D45" s="29"/>
      <c r="E45" s="29"/>
    </row>
    <row r="46" spans="1:5" s="191" customFormat="1" ht="11.25">
      <c r="A46" s="169"/>
      <c r="B46" s="240"/>
      <c r="C46" s="170"/>
      <c r="D46" s="29"/>
      <c r="E46" s="29"/>
    </row>
    <row r="47" spans="1:5" s="191" customFormat="1" ht="11.25">
      <c r="A47" s="190"/>
      <c r="B47" s="240"/>
      <c r="C47" s="29"/>
      <c r="D47" s="29"/>
      <c r="E47" s="29"/>
    </row>
    <row r="48" spans="1:5" s="191" customFormat="1" ht="11.25">
      <c r="A48" s="29"/>
      <c r="B48" s="240"/>
      <c r="C48" s="29"/>
      <c r="D48" s="29"/>
      <c r="E48" s="29"/>
    </row>
    <row r="49" spans="1:5" s="191" customFormat="1" ht="11.25">
      <c r="A49" s="29"/>
      <c r="B49" s="240"/>
      <c r="C49" s="29"/>
      <c r="D49" s="29"/>
      <c r="E49" s="29"/>
    </row>
    <row r="50" spans="1:5" s="191" customFormat="1" ht="11.25">
      <c r="A50" s="29"/>
      <c r="B50" s="240"/>
      <c r="C50" s="29"/>
      <c r="D50" s="29"/>
      <c r="E50" s="29"/>
    </row>
    <row r="51" spans="1:5" s="191" customFormat="1" ht="11.25">
      <c r="A51" s="29"/>
      <c r="B51" s="240"/>
      <c r="C51" s="29"/>
      <c r="D51" s="29"/>
      <c r="E51" s="29"/>
    </row>
    <row r="52" spans="1:5" s="191" customFormat="1" ht="11.25">
      <c r="A52" s="29"/>
      <c r="B52" s="240"/>
      <c r="C52" s="29"/>
      <c r="D52" s="29"/>
      <c r="E52" s="29"/>
    </row>
    <row r="53" spans="1:5" s="191" customFormat="1" ht="11.25">
      <c r="A53" s="29"/>
      <c r="B53" s="240"/>
      <c r="C53" s="29"/>
      <c r="D53" s="29"/>
      <c r="E53" s="29"/>
    </row>
    <row r="54" spans="1:5" s="191" customFormat="1" ht="11.25">
      <c r="A54" s="169"/>
      <c r="B54" s="240"/>
      <c r="C54" s="29"/>
      <c r="D54" s="29"/>
      <c r="E54" s="29"/>
    </row>
    <row r="55" spans="1:5" s="191" customFormat="1" ht="11.25">
      <c r="A55" s="29"/>
      <c r="B55" s="240"/>
      <c r="C55" s="29"/>
      <c r="D55" s="29"/>
      <c r="E55" s="29"/>
    </row>
    <row r="56" spans="1:5" s="191" customFormat="1" ht="11.25">
      <c r="A56" s="169"/>
      <c r="B56" s="240"/>
      <c r="C56" s="29"/>
      <c r="D56" s="29"/>
      <c r="E56" s="29"/>
    </row>
    <row r="57" spans="1:5" s="191" customFormat="1" ht="11.25">
      <c r="A57" s="29"/>
      <c r="B57" s="240"/>
      <c r="C57" s="29"/>
      <c r="D57" s="29"/>
      <c r="E57" s="29"/>
    </row>
    <row r="58" spans="1:5" s="191" customFormat="1" ht="11.25">
      <c r="A58" s="29"/>
      <c r="B58" s="240"/>
      <c r="C58" s="29"/>
      <c r="D58" s="29"/>
      <c r="E58" s="29"/>
    </row>
    <row r="59" spans="1:5" s="191" customFormat="1" ht="11.25">
      <c r="A59" s="29"/>
      <c r="B59" s="240"/>
      <c r="C59" s="29"/>
      <c r="D59" s="29"/>
      <c r="E59" s="29"/>
    </row>
    <row r="60" spans="1:5" s="191" customFormat="1" ht="11.25">
      <c r="A60" s="29"/>
      <c r="B60" s="240"/>
      <c r="C60" s="29"/>
      <c r="D60" s="29"/>
      <c r="E60" s="29"/>
    </row>
    <row r="61" spans="1:5" s="191" customFormat="1" ht="11.25">
      <c r="A61" s="29"/>
      <c r="B61" s="240"/>
      <c r="C61" s="29"/>
      <c r="D61" s="29"/>
      <c r="E61" s="29"/>
    </row>
    <row r="62" spans="1:5" s="191" customFormat="1" ht="11.25">
      <c r="A62" s="29"/>
      <c r="B62" s="240"/>
      <c r="C62" s="29"/>
      <c r="D62" s="29"/>
      <c r="E62" s="29"/>
    </row>
    <row r="63" spans="1:5" s="191" customFormat="1" ht="11.25">
      <c r="A63" s="29"/>
      <c r="B63" s="240"/>
      <c r="C63" s="29"/>
      <c r="D63" s="29"/>
      <c r="E63" s="29"/>
    </row>
    <row r="64" spans="1:5" s="191" customFormat="1" ht="11.25">
      <c r="A64" s="29"/>
      <c r="B64" s="240"/>
      <c r="C64" s="29"/>
      <c r="D64" s="29"/>
      <c r="E64" s="29"/>
    </row>
    <row r="65" spans="1:5" s="191" customFormat="1" ht="11.25">
      <c r="A65" s="29"/>
      <c r="B65" s="240"/>
      <c r="C65" s="29"/>
      <c r="D65" s="29"/>
      <c r="E65" s="29"/>
    </row>
    <row r="66" spans="1:5" s="191" customFormat="1" ht="11.25">
      <c r="A66" s="29"/>
      <c r="B66" s="240"/>
      <c r="C66" s="29"/>
      <c r="D66" s="29"/>
      <c r="E66" s="29"/>
    </row>
    <row r="67" spans="1:5" s="191" customFormat="1" ht="11.25">
      <c r="A67" s="29"/>
      <c r="B67" s="240"/>
      <c r="C67" s="29"/>
      <c r="D67" s="29"/>
      <c r="E67" s="29"/>
    </row>
    <row r="68" spans="1:5" s="191" customFormat="1" ht="11.25">
      <c r="A68" s="29"/>
      <c r="B68" s="240"/>
      <c r="C68" s="29"/>
      <c r="D68" s="29"/>
      <c r="E68" s="29"/>
    </row>
    <row r="69" spans="1:5" s="191" customFormat="1" ht="11.25">
      <c r="A69" s="29"/>
      <c r="B69" s="240"/>
      <c r="C69" s="29"/>
      <c r="D69" s="29"/>
      <c r="E69" s="29"/>
    </row>
    <row r="70" spans="1:5" s="191" customFormat="1" ht="11.25">
      <c r="A70" s="29"/>
      <c r="B70" s="240"/>
      <c r="C70" s="29"/>
      <c r="D70" s="29"/>
      <c r="E70" s="29"/>
    </row>
    <row r="71" spans="1:5" s="191" customFormat="1" ht="11.25">
      <c r="A71" s="29"/>
      <c r="B71" s="240"/>
      <c r="C71" s="29"/>
      <c r="D71" s="29"/>
      <c r="E71" s="29"/>
    </row>
    <row r="72" spans="1:5" s="191" customFormat="1" ht="11.25">
      <c r="A72" s="29"/>
      <c r="B72" s="240"/>
      <c r="C72" s="29"/>
      <c r="D72" s="29"/>
      <c r="E72" s="29"/>
    </row>
    <row r="73" spans="1:5" s="191" customFormat="1" ht="11.25">
      <c r="A73" s="29"/>
      <c r="B73" s="240"/>
      <c r="C73" s="29"/>
      <c r="D73" s="29"/>
      <c r="E73" s="29"/>
    </row>
    <row r="74" spans="1:5" s="191" customFormat="1" ht="11.25">
      <c r="A74" s="29"/>
      <c r="B74" s="240"/>
      <c r="C74" s="29"/>
      <c r="D74" s="29"/>
      <c r="E74" s="29"/>
    </row>
    <row r="75" spans="1:5" s="191" customFormat="1" ht="11.25">
      <c r="A75" s="29"/>
      <c r="B75" s="240"/>
      <c r="C75" s="29"/>
      <c r="D75" s="29"/>
      <c r="E75" s="29"/>
    </row>
    <row r="76" spans="1:5" s="191" customFormat="1" ht="11.25">
      <c r="A76" s="29"/>
      <c r="B76" s="240"/>
      <c r="C76" s="29"/>
      <c r="D76" s="29"/>
      <c r="E76" s="29"/>
    </row>
    <row r="77" spans="1:5" s="191" customFormat="1" ht="11.25">
      <c r="A77" s="29"/>
      <c r="B77" s="240"/>
      <c r="C77" s="29"/>
      <c r="D77" s="29"/>
      <c r="E77" s="29"/>
    </row>
    <row r="78" spans="1:5" s="191" customFormat="1" ht="11.25">
      <c r="A78" s="29"/>
      <c r="B78" s="240"/>
      <c r="C78" s="29"/>
      <c r="D78" s="29"/>
      <c r="E78" s="29"/>
    </row>
    <row r="79" spans="1:5" s="191" customFormat="1" ht="11.25">
      <c r="A79" s="29"/>
      <c r="B79" s="240"/>
      <c r="C79" s="29"/>
      <c r="D79" s="29"/>
      <c r="E79" s="29"/>
    </row>
    <row r="80" spans="1:5" s="191" customFormat="1" ht="11.25">
      <c r="A80" s="29"/>
      <c r="B80" s="240"/>
      <c r="C80" s="29"/>
      <c r="D80" s="29"/>
      <c r="E80" s="29"/>
    </row>
    <row r="81" spans="1:5" s="191" customFormat="1" ht="11.25">
      <c r="A81" s="29"/>
      <c r="B81" s="240"/>
      <c r="C81" s="29"/>
      <c r="D81" s="29"/>
      <c r="E81" s="29"/>
    </row>
    <row r="82" spans="1:5" s="191" customFormat="1" ht="11.25">
      <c r="A82" s="29"/>
      <c r="B82" s="240"/>
      <c r="C82" s="29"/>
      <c r="D82" s="29"/>
      <c r="E82" s="29"/>
    </row>
    <row r="83" spans="1:5" s="191" customFormat="1" ht="11.25">
      <c r="A83" s="29"/>
      <c r="B83" s="240"/>
      <c r="C83" s="29"/>
      <c r="D83" s="29"/>
      <c r="E83" s="29"/>
    </row>
    <row r="84" spans="1:5" s="191" customFormat="1" ht="11.25">
      <c r="A84" s="29"/>
      <c r="B84" s="240"/>
      <c r="C84" s="29"/>
      <c r="D84" s="29"/>
      <c r="E84" s="29"/>
    </row>
    <row r="85" spans="1:5" s="191" customFormat="1" ht="11.25">
      <c r="A85" s="29"/>
      <c r="B85" s="240"/>
      <c r="C85" s="29"/>
      <c r="D85" s="29"/>
      <c r="E85" s="29"/>
    </row>
    <row r="86" spans="1:5" s="191" customFormat="1" ht="11.25">
      <c r="A86" s="29"/>
      <c r="B86" s="240"/>
      <c r="C86" s="29"/>
      <c r="D86" s="29"/>
      <c r="E86" s="29"/>
    </row>
    <row r="87" spans="1:5" s="191" customFormat="1" ht="11.25">
      <c r="A87" s="29"/>
      <c r="B87" s="240"/>
      <c r="C87" s="29"/>
      <c r="D87" s="29"/>
      <c r="E87" s="29"/>
    </row>
    <row r="88" spans="1:5" s="191" customFormat="1" ht="11.25">
      <c r="A88" s="29"/>
      <c r="B88" s="240"/>
      <c r="C88" s="29"/>
      <c r="D88" s="29"/>
      <c r="E88" s="29"/>
    </row>
    <row r="89" spans="1:5" s="191" customFormat="1" ht="11.25">
      <c r="A89" s="29"/>
      <c r="B89" s="240"/>
      <c r="C89" s="29"/>
      <c r="D89" s="29"/>
      <c r="E89" s="29"/>
    </row>
    <row r="90" spans="1:5" s="191" customFormat="1" ht="11.25">
      <c r="A90" s="29"/>
      <c r="B90" s="240"/>
      <c r="C90" s="29"/>
      <c r="D90" s="29"/>
      <c r="E90" s="29"/>
    </row>
    <row r="91" spans="1:5" s="191" customFormat="1" ht="11.25">
      <c r="A91" s="29"/>
      <c r="B91" s="240"/>
      <c r="C91" s="29"/>
      <c r="D91" s="29"/>
      <c r="E91" s="29"/>
    </row>
    <row r="92" spans="1:5" s="191" customFormat="1" ht="11.25">
      <c r="A92" s="29"/>
      <c r="B92" s="240"/>
      <c r="C92" s="29"/>
      <c r="D92" s="29"/>
      <c r="E92" s="29"/>
    </row>
    <row r="93" spans="1:5" s="191" customFormat="1" ht="11.25">
      <c r="A93" s="29"/>
      <c r="B93" s="240"/>
      <c r="C93" s="29"/>
      <c r="D93" s="29"/>
      <c r="E93" s="29"/>
    </row>
    <row r="94" spans="1:5" s="191" customFormat="1" ht="11.25">
      <c r="A94" s="29"/>
      <c r="B94" s="240"/>
      <c r="C94" s="29"/>
      <c r="D94" s="29"/>
      <c r="E94" s="29"/>
    </row>
    <row r="95" spans="1:5" s="191" customFormat="1" ht="11.25">
      <c r="A95" s="29"/>
      <c r="B95" s="240"/>
      <c r="C95" s="29"/>
      <c r="D95" s="29"/>
      <c r="E95" s="29"/>
    </row>
    <row r="96" spans="1:5" s="191" customFormat="1" ht="11.25">
      <c r="A96" s="29"/>
      <c r="B96" s="240"/>
      <c r="C96" s="29"/>
      <c r="D96" s="29"/>
      <c r="E96" s="29"/>
    </row>
    <row r="97" spans="1:5" s="191" customFormat="1" ht="11.25">
      <c r="A97" s="29"/>
      <c r="B97" s="240"/>
      <c r="C97" s="29"/>
      <c r="D97" s="29"/>
      <c r="E97" s="29"/>
    </row>
    <row r="98" spans="1:5" s="191" customFormat="1" ht="11.25">
      <c r="A98" s="29"/>
      <c r="B98" s="240"/>
      <c r="C98" s="29"/>
      <c r="D98" s="29"/>
      <c r="E98" s="29"/>
    </row>
    <row r="99" spans="1:5" s="191" customFormat="1" ht="11.25">
      <c r="A99" s="29"/>
      <c r="B99" s="240"/>
      <c r="C99" s="29"/>
      <c r="D99" s="29"/>
      <c r="E99" s="29"/>
    </row>
    <row r="100" spans="1:5" s="191" customFormat="1" ht="11.25">
      <c r="A100" s="29"/>
      <c r="B100" s="240"/>
      <c r="C100" s="29"/>
      <c r="D100" s="29"/>
      <c r="E100" s="29"/>
    </row>
    <row r="101" spans="1:5" s="191" customFormat="1" ht="11.25">
      <c r="A101" s="29"/>
      <c r="B101" s="240"/>
      <c r="C101" s="29"/>
      <c r="D101" s="29"/>
      <c r="E101" s="29"/>
    </row>
    <row r="102" spans="1:5" s="191" customFormat="1" ht="11.25">
      <c r="A102" s="29"/>
      <c r="B102" s="240"/>
      <c r="C102" s="29"/>
      <c r="D102" s="29"/>
      <c r="E102" s="29"/>
    </row>
    <row r="103" spans="1:5" s="191" customFormat="1" ht="11.25">
      <c r="A103" s="29"/>
      <c r="B103" s="240"/>
      <c r="C103" s="29"/>
      <c r="D103" s="29"/>
      <c r="E103" s="29"/>
    </row>
    <row r="104" spans="1:5" s="191" customFormat="1" ht="11.25">
      <c r="A104" s="29"/>
      <c r="B104" s="240"/>
      <c r="C104" s="29"/>
      <c r="D104" s="29"/>
      <c r="E104" s="29"/>
    </row>
    <row r="105" spans="1:5" s="191" customFormat="1" ht="11.25">
      <c r="A105" s="29"/>
      <c r="B105" s="240"/>
      <c r="C105" s="29"/>
      <c r="D105" s="29"/>
      <c r="E105" s="29"/>
    </row>
    <row r="106" spans="1:5" s="191" customFormat="1" ht="11.25">
      <c r="A106" s="29"/>
      <c r="B106" s="240"/>
      <c r="C106" s="29"/>
      <c r="D106" s="29"/>
      <c r="E106" s="29"/>
    </row>
    <row r="107" spans="1:5" s="191" customFormat="1" ht="11.25">
      <c r="A107" s="29"/>
      <c r="B107" s="240"/>
      <c r="C107" s="29"/>
      <c r="D107" s="29"/>
      <c r="E107" s="29"/>
    </row>
    <row r="108" spans="1:5" s="191" customFormat="1" ht="11.25">
      <c r="A108" s="29"/>
      <c r="B108" s="240"/>
      <c r="C108" s="29"/>
      <c r="D108" s="29"/>
      <c r="E108" s="29"/>
    </row>
    <row r="109" spans="1:5" s="191" customFormat="1" ht="11.25">
      <c r="A109" s="29"/>
      <c r="B109" s="240"/>
      <c r="C109" s="29"/>
      <c r="D109" s="29"/>
      <c r="E109" s="29"/>
    </row>
    <row r="110" spans="1:5" s="191" customFormat="1" ht="11.25">
      <c r="A110" s="29"/>
      <c r="B110" s="240"/>
      <c r="C110" s="29"/>
      <c r="D110" s="29"/>
      <c r="E110" s="29"/>
    </row>
    <row r="111" spans="1:5" s="191" customFormat="1" ht="11.25">
      <c r="A111" s="29"/>
      <c r="B111" s="240"/>
      <c r="C111" s="29"/>
      <c r="D111" s="29"/>
      <c r="E111" s="29"/>
    </row>
    <row r="112" spans="1:5" s="191" customFormat="1" ht="11.25">
      <c r="A112" s="29"/>
      <c r="B112" s="240"/>
      <c r="C112" s="29"/>
      <c r="D112" s="29"/>
      <c r="E112" s="29"/>
    </row>
    <row r="113" spans="1:5" s="191" customFormat="1" ht="11.25">
      <c r="A113" s="29"/>
      <c r="B113" s="240"/>
      <c r="C113" s="29"/>
      <c r="D113" s="29"/>
      <c r="E113" s="29"/>
    </row>
    <row r="114" spans="1:5" s="191" customFormat="1" ht="11.25">
      <c r="A114" s="29"/>
      <c r="B114" s="240"/>
      <c r="C114" s="29"/>
      <c r="D114" s="29"/>
      <c r="E114" s="29"/>
    </row>
    <row r="115" spans="1:5" s="191" customFormat="1" ht="11.25">
      <c r="A115" s="29"/>
      <c r="B115" s="240"/>
      <c r="C115" s="29"/>
      <c r="D115" s="29"/>
      <c r="E115" s="29"/>
    </row>
    <row r="116" spans="1:5" s="191" customFormat="1" ht="11.25">
      <c r="A116" s="29"/>
      <c r="B116" s="240"/>
      <c r="C116" s="29"/>
      <c r="D116" s="29"/>
      <c r="E116" s="29"/>
    </row>
    <row r="117" spans="1:5" s="191" customFormat="1" ht="11.25">
      <c r="A117" s="29"/>
      <c r="B117" s="240"/>
      <c r="C117" s="29"/>
      <c r="D117" s="29"/>
      <c r="E117" s="29"/>
    </row>
    <row r="118" spans="1:5" s="191" customFormat="1" ht="11.25">
      <c r="A118" s="29"/>
      <c r="B118" s="240"/>
      <c r="C118" s="29"/>
      <c r="D118" s="29"/>
      <c r="E118" s="29"/>
    </row>
    <row r="119" spans="1:5" s="191" customFormat="1" ht="11.25">
      <c r="A119" s="29"/>
      <c r="B119" s="240"/>
      <c r="C119" s="29"/>
      <c r="D119" s="29"/>
      <c r="E119" s="29"/>
    </row>
    <row r="120" spans="1:5" s="191" customFormat="1" ht="11.25">
      <c r="A120" s="29"/>
      <c r="B120" s="240"/>
      <c r="C120" s="29"/>
      <c r="D120" s="29"/>
      <c r="E120" s="29"/>
    </row>
    <row r="121" spans="1:5" s="191" customFormat="1" ht="11.25">
      <c r="A121" s="29"/>
      <c r="B121" s="240"/>
      <c r="C121" s="29"/>
      <c r="D121" s="29"/>
      <c r="E121" s="29"/>
    </row>
    <row r="122" spans="1:5" s="191" customFormat="1" ht="11.25">
      <c r="A122" s="29"/>
      <c r="B122" s="240"/>
      <c r="C122" s="29"/>
      <c r="D122" s="29"/>
      <c r="E122" s="29"/>
    </row>
    <row r="123" spans="1:5" s="191" customFormat="1" ht="11.25">
      <c r="A123" s="29"/>
      <c r="B123" s="240"/>
      <c r="C123" s="29"/>
      <c r="D123" s="29"/>
      <c r="E123" s="29"/>
    </row>
    <row r="124" spans="1:5" s="191" customFormat="1" ht="11.25">
      <c r="A124" s="29"/>
      <c r="B124" s="240"/>
      <c r="C124" s="29"/>
      <c r="D124" s="29"/>
      <c r="E124" s="29"/>
    </row>
    <row r="125" spans="1:5" s="191" customFormat="1" ht="11.25">
      <c r="A125" s="29"/>
      <c r="B125" s="240"/>
      <c r="C125" s="29"/>
      <c r="D125" s="29"/>
      <c r="E125" s="29"/>
    </row>
    <row r="126" spans="1:5" s="191" customFormat="1" ht="11.25">
      <c r="A126" s="29"/>
      <c r="B126" s="240"/>
      <c r="C126" s="29"/>
      <c r="D126" s="29"/>
      <c r="E126" s="29"/>
    </row>
    <row r="127" spans="1:5" s="191" customFormat="1" ht="11.25">
      <c r="A127" s="29"/>
      <c r="B127" s="240"/>
      <c r="C127" s="29"/>
      <c r="D127" s="29"/>
      <c r="E127" s="29"/>
    </row>
    <row r="128" spans="1:5" s="191" customFormat="1" ht="11.25">
      <c r="A128" s="29"/>
      <c r="B128" s="240"/>
      <c r="C128" s="29"/>
      <c r="D128" s="29"/>
      <c r="E128" s="29"/>
    </row>
    <row r="129" spans="1:5" s="191" customFormat="1" ht="11.25">
      <c r="A129" s="29"/>
      <c r="B129" s="240"/>
      <c r="C129" s="29"/>
      <c r="D129" s="29"/>
      <c r="E129" s="29"/>
    </row>
    <row r="130" spans="1:5" s="191" customFormat="1" ht="11.25">
      <c r="A130" s="29"/>
      <c r="B130" s="240"/>
      <c r="C130" s="29"/>
      <c r="D130" s="29"/>
      <c r="E130" s="29"/>
    </row>
    <row r="131" spans="1:5" s="191" customFormat="1" ht="11.25">
      <c r="A131" s="29"/>
      <c r="B131" s="240"/>
      <c r="C131" s="29"/>
      <c r="D131" s="29"/>
      <c r="E131" s="29"/>
    </row>
    <row r="132" spans="1:5" s="191" customFormat="1" ht="11.25">
      <c r="A132" s="29"/>
      <c r="B132" s="240"/>
      <c r="C132" s="29"/>
      <c r="D132" s="29"/>
      <c r="E132" s="29"/>
    </row>
    <row r="133" spans="1:5" s="191" customFormat="1" ht="11.25">
      <c r="A133" s="29"/>
      <c r="B133" s="240"/>
      <c r="C133" s="29"/>
      <c r="D133" s="29"/>
      <c r="E133" s="29"/>
    </row>
    <row r="134" spans="1:5" s="191" customFormat="1" ht="11.25">
      <c r="A134" s="29"/>
      <c r="B134" s="240"/>
      <c r="C134" s="29"/>
      <c r="D134" s="29"/>
      <c r="E134" s="29"/>
    </row>
    <row r="135" spans="1:5" s="191" customFormat="1" ht="11.25">
      <c r="A135" s="29"/>
      <c r="B135" s="240"/>
      <c r="C135" s="29"/>
      <c r="D135" s="29"/>
      <c r="E135" s="29"/>
    </row>
    <row r="136" spans="1:5" s="191" customFormat="1" ht="11.25">
      <c r="A136" s="29"/>
      <c r="B136" s="240"/>
      <c r="C136" s="29"/>
      <c r="D136" s="29"/>
      <c r="E136" s="29"/>
    </row>
    <row r="137" spans="1:5" s="191" customFormat="1" ht="11.25">
      <c r="A137" s="29"/>
      <c r="B137" s="240"/>
      <c r="C137" s="29"/>
      <c r="D137" s="29"/>
      <c r="E137" s="29"/>
    </row>
    <row r="138" spans="1:5" s="191" customFormat="1" ht="11.25">
      <c r="A138" s="29"/>
      <c r="B138" s="240"/>
      <c r="C138" s="29"/>
      <c r="D138" s="29"/>
      <c r="E138" s="29"/>
    </row>
    <row r="139" spans="1:5" s="191" customFormat="1" ht="11.25">
      <c r="A139" s="29"/>
      <c r="B139" s="240"/>
      <c r="C139" s="29"/>
      <c r="D139" s="29"/>
      <c r="E139" s="29"/>
    </row>
    <row r="140" spans="1:5" s="191" customFormat="1" ht="11.25">
      <c r="A140" s="29"/>
      <c r="B140" s="240"/>
      <c r="C140" s="29"/>
      <c r="D140" s="29"/>
      <c r="E140" s="29"/>
    </row>
    <row r="141" spans="1:5" s="191" customFormat="1" ht="11.25">
      <c r="A141" s="29"/>
      <c r="B141" s="240"/>
      <c r="C141" s="29"/>
      <c r="D141" s="29"/>
      <c r="E141" s="29"/>
    </row>
    <row r="142" spans="1:5" s="191" customFormat="1" ht="11.25">
      <c r="A142" s="29"/>
      <c r="B142" s="240"/>
      <c r="C142" s="29"/>
      <c r="D142" s="29"/>
      <c r="E142" s="29"/>
    </row>
    <row r="143" spans="1:5" s="191" customFormat="1" ht="11.25">
      <c r="A143" s="29"/>
      <c r="B143" s="240"/>
      <c r="C143" s="29"/>
      <c r="D143" s="29"/>
      <c r="E143" s="29"/>
    </row>
    <row r="144" spans="1:5" s="191" customFormat="1" ht="11.25">
      <c r="A144" s="29"/>
      <c r="B144" s="240"/>
      <c r="C144" s="29"/>
      <c r="D144" s="29"/>
      <c r="E144" s="29"/>
    </row>
    <row r="145" spans="1:5" s="191" customFormat="1" ht="11.25">
      <c r="A145" s="29"/>
      <c r="B145" s="240"/>
      <c r="C145" s="29"/>
      <c r="D145" s="29"/>
      <c r="E145" s="29"/>
    </row>
    <row r="146" spans="1:5" s="191" customFormat="1" ht="11.25">
      <c r="A146" s="29"/>
      <c r="B146" s="240"/>
      <c r="C146" s="29"/>
      <c r="D146" s="29"/>
      <c r="E146" s="29"/>
    </row>
    <row r="147" spans="1:5" s="191" customFormat="1" ht="11.25">
      <c r="A147" s="29"/>
      <c r="B147" s="240"/>
      <c r="C147" s="29"/>
      <c r="D147" s="29"/>
      <c r="E147" s="29"/>
    </row>
    <row r="148" spans="1:5" s="191" customFormat="1" ht="11.25">
      <c r="A148" s="29"/>
      <c r="B148" s="240"/>
      <c r="C148" s="29"/>
      <c r="D148" s="29"/>
      <c r="E148" s="29"/>
    </row>
    <row r="149" spans="1:5" s="191" customFormat="1" ht="11.25">
      <c r="A149" s="29"/>
      <c r="B149" s="240"/>
      <c r="C149" s="29"/>
      <c r="D149" s="29"/>
      <c r="E149" s="29"/>
    </row>
    <row r="150" spans="1:5" s="191" customFormat="1" ht="11.25">
      <c r="A150" s="29"/>
      <c r="B150" s="240"/>
      <c r="C150" s="29"/>
      <c r="D150" s="29"/>
      <c r="E150" s="29"/>
    </row>
    <row r="151" spans="1:5" s="191" customFormat="1" ht="11.25">
      <c r="A151" s="29"/>
      <c r="B151" s="240"/>
      <c r="C151" s="29"/>
      <c r="D151" s="29"/>
      <c r="E151" s="29"/>
    </row>
    <row r="152" spans="1:5" s="191" customFormat="1" ht="11.25">
      <c r="A152" s="29"/>
      <c r="B152" s="240"/>
      <c r="C152" s="29"/>
      <c r="D152" s="29"/>
      <c r="E152" s="29"/>
    </row>
    <row r="153" spans="1:5" s="191" customFormat="1" ht="11.25">
      <c r="A153" s="29"/>
      <c r="B153" s="240"/>
      <c r="C153" s="29"/>
      <c r="D153" s="29"/>
      <c r="E153" s="29"/>
    </row>
    <row r="154" spans="1:5" s="191" customFormat="1" ht="11.25">
      <c r="A154" s="29"/>
      <c r="B154" s="240"/>
      <c r="C154" s="29"/>
      <c r="D154" s="29"/>
      <c r="E154" s="29"/>
    </row>
    <row r="155" spans="1:5" s="191" customFormat="1" ht="11.25">
      <c r="A155" s="29"/>
      <c r="B155" s="240"/>
      <c r="C155" s="29"/>
      <c r="D155" s="29"/>
      <c r="E155" s="29"/>
    </row>
    <row r="156" spans="1:5" s="191" customFormat="1" ht="11.25">
      <c r="A156" s="29"/>
      <c r="B156" s="240"/>
      <c r="C156" s="29"/>
      <c r="D156" s="29"/>
      <c r="E156" s="29"/>
    </row>
    <row r="157" spans="1:5" s="191" customFormat="1" ht="11.25">
      <c r="A157" s="29"/>
      <c r="B157" s="240"/>
      <c r="C157" s="29"/>
      <c r="D157" s="29"/>
      <c r="E157" s="29"/>
    </row>
    <row r="158" spans="1:5" s="191" customFormat="1" ht="11.25">
      <c r="A158" s="29"/>
      <c r="B158" s="240"/>
      <c r="C158" s="29"/>
      <c r="D158" s="29"/>
      <c r="E158" s="29"/>
    </row>
    <row r="159" spans="1:5" s="191" customFormat="1" ht="11.25">
      <c r="A159" s="29"/>
      <c r="B159" s="240"/>
      <c r="C159" s="29"/>
      <c r="D159" s="29"/>
      <c r="E159" s="29"/>
    </row>
    <row r="160" spans="1:5" s="191" customFormat="1" ht="11.25">
      <c r="A160" s="29"/>
      <c r="B160" s="240"/>
      <c r="C160" s="29"/>
      <c r="D160" s="29"/>
      <c r="E160" s="29"/>
    </row>
    <row r="161" spans="1:5" s="191" customFormat="1" ht="11.25">
      <c r="A161" s="29"/>
      <c r="B161" s="240"/>
      <c r="C161" s="29"/>
      <c r="D161" s="29"/>
      <c r="E161" s="29"/>
    </row>
    <row r="162" spans="1:5" s="191" customFormat="1" ht="11.25">
      <c r="A162" s="29"/>
      <c r="B162" s="240"/>
      <c r="C162" s="29"/>
      <c r="D162" s="29"/>
      <c r="E162" s="29"/>
    </row>
    <row r="163" spans="1:5" s="191" customFormat="1" ht="11.25">
      <c r="A163" s="29"/>
      <c r="B163" s="240"/>
      <c r="C163" s="29"/>
      <c r="D163" s="29"/>
      <c r="E163" s="29"/>
    </row>
    <row r="164" spans="1:5" s="191" customFormat="1" ht="11.25">
      <c r="A164" s="29"/>
      <c r="B164" s="240"/>
      <c r="C164" s="29"/>
      <c r="D164" s="29"/>
      <c r="E164" s="29"/>
    </row>
    <row r="165" spans="1:5" s="191" customFormat="1" ht="11.25">
      <c r="A165" s="29"/>
      <c r="B165" s="240"/>
      <c r="C165" s="29"/>
      <c r="D165" s="29"/>
      <c r="E165" s="29"/>
    </row>
    <row r="166" spans="1:5" s="191" customFormat="1" ht="11.25">
      <c r="A166" s="29"/>
      <c r="B166" s="240"/>
      <c r="C166" s="29"/>
      <c r="D166" s="29"/>
      <c r="E166" s="29"/>
    </row>
    <row r="167" spans="1:5" s="191" customFormat="1" ht="11.25">
      <c r="A167" s="29"/>
      <c r="B167" s="240"/>
      <c r="C167" s="29"/>
      <c r="D167" s="29"/>
      <c r="E167" s="29"/>
    </row>
    <row r="168" spans="1:5" s="191" customFormat="1" ht="11.25">
      <c r="A168" s="29"/>
      <c r="B168" s="240"/>
      <c r="C168" s="29"/>
      <c r="D168" s="29"/>
      <c r="E168" s="29"/>
    </row>
    <row r="169" spans="1:5" s="191" customFormat="1" ht="11.25">
      <c r="A169" s="29"/>
      <c r="B169" s="240"/>
      <c r="C169" s="29"/>
      <c r="D169" s="29"/>
      <c r="E169" s="29"/>
    </row>
    <row r="170" spans="1:5" s="191" customFormat="1" ht="11.25">
      <c r="A170" s="29"/>
      <c r="B170" s="240"/>
      <c r="C170" s="29"/>
      <c r="D170" s="29"/>
      <c r="E170" s="29"/>
    </row>
    <row r="171" spans="1:5" s="191" customFormat="1" ht="11.25">
      <c r="A171" s="29"/>
      <c r="B171" s="240"/>
      <c r="C171" s="29"/>
      <c r="D171" s="29"/>
      <c r="E171" s="29"/>
    </row>
    <row r="172" spans="1:5" s="191" customFormat="1" ht="11.25">
      <c r="A172" s="29"/>
      <c r="B172" s="240"/>
      <c r="C172" s="29"/>
      <c r="D172" s="29"/>
      <c r="E172" s="29"/>
    </row>
    <row r="173" spans="1:5" s="191" customFormat="1" ht="11.25">
      <c r="A173" s="29"/>
      <c r="B173" s="240"/>
      <c r="C173" s="29"/>
      <c r="D173" s="29"/>
      <c r="E173" s="29"/>
    </row>
    <row r="174" spans="1:5" s="191" customFormat="1" ht="11.25">
      <c r="A174" s="29"/>
      <c r="B174" s="240"/>
      <c r="C174" s="29"/>
      <c r="D174" s="29"/>
      <c r="E174" s="29"/>
    </row>
    <row r="175" spans="1:5" s="191" customFormat="1" ht="11.25">
      <c r="A175" s="29"/>
      <c r="B175" s="240"/>
      <c r="C175" s="29"/>
      <c r="D175" s="29"/>
      <c r="E175" s="29"/>
    </row>
    <row r="176" spans="1:5" s="191" customFormat="1" ht="11.25">
      <c r="A176" s="29"/>
      <c r="B176" s="240"/>
      <c r="C176" s="29"/>
      <c r="D176" s="29"/>
      <c r="E176" s="29"/>
    </row>
    <row r="177" spans="1:5" s="191" customFormat="1" ht="11.25">
      <c r="A177" s="29"/>
      <c r="B177" s="240"/>
      <c r="C177" s="29"/>
      <c r="D177" s="29"/>
      <c r="E177" s="29"/>
    </row>
    <row r="178" spans="1:5" s="191" customFormat="1" ht="11.25">
      <c r="A178" s="29"/>
      <c r="B178" s="240"/>
      <c r="C178" s="29"/>
      <c r="D178" s="29"/>
      <c r="E178" s="29"/>
    </row>
    <row r="179" spans="1:5" s="191" customFormat="1" ht="11.25">
      <c r="A179" s="29"/>
      <c r="B179" s="240"/>
      <c r="C179" s="29"/>
      <c r="D179" s="29"/>
      <c r="E179" s="29"/>
    </row>
    <row r="180" spans="1:5" s="191" customFormat="1" ht="11.25">
      <c r="A180" s="29"/>
      <c r="B180" s="240"/>
      <c r="C180" s="29"/>
      <c r="D180" s="29"/>
      <c r="E180" s="29"/>
    </row>
    <row r="181" spans="1:5" s="191" customFormat="1" ht="11.25">
      <c r="A181" s="29"/>
      <c r="B181" s="240"/>
      <c r="C181" s="29"/>
      <c r="D181" s="29"/>
      <c r="E181" s="29"/>
    </row>
    <row r="182" spans="1:5" s="191" customFormat="1" ht="11.25">
      <c r="A182" s="29"/>
      <c r="B182" s="240"/>
      <c r="C182" s="29"/>
      <c r="D182" s="29"/>
      <c r="E182" s="29"/>
    </row>
    <row r="183" spans="1:5" s="191" customFormat="1" ht="11.25">
      <c r="A183" s="29"/>
      <c r="B183" s="240"/>
      <c r="C183" s="29"/>
      <c r="D183" s="29"/>
      <c r="E183" s="29"/>
    </row>
    <row r="184" spans="1:5" s="191" customFormat="1" ht="11.25">
      <c r="A184" s="29"/>
      <c r="B184" s="240"/>
      <c r="C184" s="29"/>
      <c r="D184" s="29"/>
      <c r="E184" s="29"/>
    </row>
  </sheetData>
  <mergeCells count="1">
    <mergeCell ref="A1:E1"/>
  </mergeCells>
  <printOptions horizontalCentered="1"/>
  <pageMargins left="0.2" right="0.2" top="1" bottom="1" header="0.5" footer="0.5"/>
  <pageSetup fitToHeight="1" fitToWidth="1" horizontalDpi="600" verticalDpi="600" orientation="portrait" r:id="rId1"/>
  <headerFooter alignWithMargins="0">
    <oddFooter>&amp;L&amp;F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zoomScale="85" zoomScaleNormal="85" workbookViewId="0" topLeftCell="A1">
      <pane ySplit="5" topLeftCell="BM6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29.00390625" style="0" customWidth="1"/>
    <col min="2" max="2" width="9.421875" style="0" customWidth="1"/>
    <col min="3" max="3" width="14.8515625" style="45" customWidth="1"/>
    <col min="4" max="4" width="16.57421875" style="45" customWidth="1"/>
    <col min="5" max="5" width="15.7109375" style="45" customWidth="1"/>
    <col min="6" max="6" width="17.28125" style="45" customWidth="1"/>
    <col min="7" max="8" width="7.8515625" style="45" hidden="1" customWidth="1"/>
  </cols>
  <sheetData>
    <row r="1" spans="1:8" ht="16.5" customHeight="1" thickBot="1">
      <c r="A1" s="270" t="s">
        <v>210</v>
      </c>
      <c r="B1" s="270"/>
      <c r="C1" s="270"/>
      <c r="D1" s="270"/>
      <c r="E1" s="270"/>
      <c r="F1" s="270"/>
      <c r="G1"/>
      <c r="H1"/>
    </row>
    <row r="2" spans="1:8" ht="13.5" thickBot="1">
      <c r="A2" s="18" t="s">
        <v>36</v>
      </c>
      <c r="B2" s="18" t="s">
        <v>37</v>
      </c>
      <c r="C2" s="269" t="s">
        <v>38</v>
      </c>
      <c r="D2" s="269"/>
      <c r="E2" s="269"/>
      <c r="F2" s="171" t="s">
        <v>39</v>
      </c>
      <c r="G2" s="51"/>
      <c r="H2"/>
    </row>
    <row r="3" spans="1:8" ht="31.5" customHeight="1" thickBot="1">
      <c r="A3" s="19"/>
      <c r="B3" s="19"/>
      <c r="C3" s="195" t="s">
        <v>178</v>
      </c>
      <c r="D3" s="195" t="s">
        <v>179</v>
      </c>
      <c r="E3" s="196" t="s">
        <v>40</v>
      </c>
      <c r="F3" s="197" t="s">
        <v>178</v>
      </c>
      <c r="G3"/>
      <c r="H3"/>
    </row>
    <row r="4" spans="1:8" ht="21" customHeight="1">
      <c r="A4" s="19"/>
      <c r="B4" s="20"/>
      <c r="C4" s="50" t="s">
        <v>41</v>
      </c>
      <c r="D4" s="198" t="s">
        <v>41</v>
      </c>
      <c r="E4" s="21" t="s">
        <v>41</v>
      </c>
      <c r="F4" s="199" t="s">
        <v>42</v>
      </c>
      <c r="G4"/>
      <c r="H4"/>
    </row>
    <row r="5" spans="1:8" ht="21" customHeight="1" thickBot="1">
      <c r="A5" s="54" t="s">
        <v>100</v>
      </c>
      <c r="B5" s="55" t="s">
        <v>101</v>
      </c>
      <c r="C5" s="56" t="s">
        <v>102</v>
      </c>
      <c r="D5" s="200" t="s">
        <v>103</v>
      </c>
      <c r="E5" s="57" t="s">
        <v>104</v>
      </c>
      <c r="F5" s="201" t="s">
        <v>105</v>
      </c>
      <c r="G5"/>
      <c r="H5"/>
    </row>
    <row r="6" spans="1:8" s="29" customFormat="1" ht="11.25">
      <c r="A6" s="22" t="s">
        <v>43</v>
      </c>
      <c r="B6" s="23"/>
      <c r="C6" s="24"/>
      <c r="D6" s="24"/>
      <c r="E6" s="24"/>
      <c r="F6" s="238"/>
      <c r="G6" s="25"/>
      <c r="H6" s="28"/>
    </row>
    <row r="7" spans="1:8" s="29" customFormat="1" ht="11.25">
      <c r="A7" s="30" t="s">
        <v>44</v>
      </c>
      <c r="B7" s="31" t="s">
        <v>45</v>
      </c>
      <c r="C7" s="26"/>
      <c r="D7" s="26"/>
      <c r="E7" s="26"/>
      <c r="F7" s="202">
        <f aca="true" t="shared" si="0" ref="F7:F13">+C7</f>
        <v>0</v>
      </c>
      <c r="G7" s="27">
        <v>0</v>
      </c>
      <c r="H7" s="28">
        <v>0</v>
      </c>
    </row>
    <row r="8" spans="1:8" s="29" customFormat="1" ht="11.25">
      <c r="A8" s="30" t="s">
        <v>46</v>
      </c>
      <c r="B8" s="31" t="s">
        <v>45</v>
      </c>
      <c r="C8" s="26"/>
      <c r="D8" s="26"/>
      <c r="E8" s="26"/>
      <c r="F8" s="202">
        <f t="shared" si="0"/>
        <v>0</v>
      </c>
      <c r="G8" s="27">
        <v>0</v>
      </c>
      <c r="H8" s="28">
        <v>0</v>
      </c>
    </row>
    <row r="9" spans="1:8" s="29" customFormat="1" ht="11.25">
      <c r="A9" s="30" t="s">
        <v>47</v>
      </c>
      <c r="B9" s="31" t="s">
        <v>45</v>
      </c>
      <c r="C9" s="26"/>
      <c r="D9" s="26"/>
      <c r="E9" s="26"/>
      <c r="F9" s="202">
        <f t="shared" si="0"/>
        <v>0</v>
      </c>
      <c r="G9" s="27">
        <v>0</v>
      </c>
      <c r="H9" s="28">
        <v>0</v>
      </c>
    </row>
    <row r="10" spans="1:8" s="29" customFormat="1" ht="11.25">
      <c r="A10" s="30" t="s">
        <v>48</v>
      </c>
      <c r="B10" s="31" t="s">
        <v>45</v>
      </c>
      <c r="C10" s="26"/>
      <c r="D10" s="26"/>
      <c r="E10" s="26"/>
      <c r="F10" s="202">
        <f t="shared" si="0"/>
        <v>0</v>
      </c>
      <c r="G10" s="27">
        <v>0</v>
      </c>
      <c r="H10" s="28">
        <v>0</v>
      </c>
    </row>
    <row r="11" spans="1:8" s="29" customFormat="1" ht="11.25">
      <c r="A11" s="30"/>
      <c r="B11" s="31"/>
      <c r="C11" s="26"/>
      <c r="D11" s="26"/>
      <c r="E11" s="26"/>
      <c r="F11" s="202"/>
      <c r="G11" s="237"/>
      <c r="H11" s="58"/>
    </row>
    <row r="12" spans="1:8" s="29" customFormat="1" ht="11.25">
      <c r="A12" s="30" t="s">
        <v>49</v>
      </c>
      <c r="B12" s="31"/>
      <c r="C12" s="26"/>
      <c r="D12" s="26"/>
      <c r="E12" s="26"/>
      <c r="F12" s="202"/>
      <c r="G12" s="27">
        <v>0</v>
      </c>
      <c r="H12" s="28">
        <v>0</v>
      </c>
    </row>
    <row r="13" spans="1:8" s="29" customFormat="1" ht="11.25">
      <c r="A13" s="30" t="s">
        <v>50</v>
      </c>
      <c r="B13" s="31" t="s">
        <v>51</v>
      </c>
      <c r="C13" s="26"/>
      <c r="D13" s="26"/>
      <c r="E13" s="26">
        <v>0</v>
      </c>
      <c r="F13" s="202">
        <f t="shared" si="0"/>
        <v>0</v>
      </c>
      <c r="G13" s="27">
        <f>0+C13</f>
        <v>0</v>
      </c>
      <c r="H13" s="28" t="e">
        <f>+G13+#REF!+#REF!</f>
        <v>#REF!</v>
      </c>
    </row>
    <row r="14" spans="1:8" s="29" customFormat="1" ht="11.25">
      <c r="A14" s="30" t="s">
        <v>52</v>
      </c>
      <c r="B14" s="31" t="s">
        <v>51</v>
      </c>
      <c r="C14" s="26">
        <f>40</f>
        <v>40</v>
      </c>
      <c r="D14" s="26">
        <v>17</v>
      </c>
      <c r="E14" s="26">
        <v>0</v>
      </c>
      <c r="F14" s="202">
        <f>+C14+8+4+36+50+61+34+18</f>
        <v>251</v>
      </c>
      <c r="G14" s="27">
        <f>0+C14</f>
        <v>40</v>
      </c>
      <c r="H14" s="28" t="e">
        <f>+G14+#REF!+#REF!</f>
        <v>#REF!</v>
      </c>
    </row>
    <row r="15" spans="1:8" s="29" customFormat="1" ht="11.25">
      <c r="A15" s="30"/>
      <c r="B15" s="31"/>
      <c r="C15" s="26"/>
      <c r="D15" s="26"/>
      <c r="E15" s="26" t="s">
        <v>32</v>
      </c>
      <c r="F15" s="202"/>
      <c r="G15" s="27" t="s">
        <v>32</v>
      </c>
      <c r="H15" s="28" t="s">
        <v>32</v>
      </c>
    </row>
    <row r="16" spans="1:8" s="29" customFormat="1" ht="11.25">
      <c r="A16" s="30" t="s">
        <v>53</v>
      </c>
      <c r="B16" s="31"/>
      <c r="C16" s="26"/>
      <c r="D16" s="26"/>
      <c r="E16" s="26" t="s">
        <v>32</v>
      </c>
      <c r="F16" s="202"/>
      <c r="G16" s="27" t="s">
        <v>32</v>
      </c>
      <c r="H16" s="28" t="s">
        <v>32</v>
      </c>
    </row>
    <row r="17" spans="1:8" s="29" customFormat="1" ht="11.25">
      <c r="A17" s="30" t="s">
        <v>54</v>
      </c>
      <c r="B17" s="31" t="s">
        <v>51</v>
      </c>
      <c r="C17" s="26"/>
      <c r="D17" s="26"/>
      <c r="E17" s="26">
        <v>0</v>
      </c>
      <c r="F17" s="202">
        <f>+C17</f>
        <v>0</v>
      </c>
      <c r="G17" s="27">
        <f aca="true" t="shared" si="1" ref="G17:G25">0+C17</f>
        <v>0</v>
      </c>
      <c r="H17" s="28" t="e">
        <f>+G17+#REF!+#REF!</f>
        <v>#REF!</v>
      </c>
    </row>
    <row r="18" spans="1:8" s="29" customFormat="1" ht="11.25">
      <c r="A18" s="30" t="s">
        <v>55</v>
      </c>
      <c r="B18" s="31" t="s">
        <v>51</v>
      </c>
      <c r="C18" s="26"/>
      <c r="D18" s="26"/>
      <c r="E18" s="26">
        <v>0</v>
      </c>
      <c r="F18" s="202">
        <f>+C18</f>
        <v>0</v>
      </c>
      <c r="G18" s="27">
        <f t="shared" si="1"/>
        <v>0</v>
      </c>
      <c r="H18" s="28" t="e">
        <f>+G18+#REF!+#REF!</f>
        <v>#REF!</v>
      </c>
    </row>
    <row r="19" spans="1:8" s="29" customFormat="1" ht="11.25">
      <c r="A19" s="30" t="s">
        <v>56</v>
      </c>
      <c r="B19" s="31" t="s">
        <v>45</v>
      </c>
      <c r="C19" s="26">
        <v>5</v>
      </c>
      <c r="D19" s="26">
        <v>2</v>
      </c>
      <c r="E19" s="26">
        <v>0</v>
      </c>
      <c r="F19" s="202">
        <f>+C19+1+1+5+2+2</f>
        <v>16</v>
      </c>
      <c r="G19" s="27">
        <f t="shared" si="1"/>
        <v>5</v>
      </c>
      <c r="H19" s="28" t="e">
        <f>+G19+#REF!+#REF!</f>
        <v>#REF!</v>
      </c>
    </row>
    <row r="20" spans="1:8" s="29" customFormat="1" ht="11.25">
      <c r="A20" s="30" t="s">
        <v>57</v>
      </c>
      <c r="B20" s="31" t="s">
        <v>45</v>
      </c>
      <c r="C20" s="26">
        <v>16</v>
      </c>
      <c r="D20" s="26">
        <v>19</v>
      </c>
      <c r="E20" s="26">
        <v>0</v>
      </c>
      <c r="F20" s="202">
        <f>+C20+8+2+39+52+26+23+14</f>
        <v>180</v>
      </c>
      <c r="G20" s="27">
        <f t="shared" si="1"/>
        <v>16</v>
      </c>
      <c r="H20" s="28" t="e">
        <f>+G20+#REF!+#REF!</f>
        <v>#REF!</v>
      </c>
    </row>
    <row r="21" spans="1:8" s="29" customFormat="1" ht="11.25">
      <c r="A21" s="30" t="s">
        <v>114</v>
      </c>
      <c r="B21" s="31" t="s">
        <v>51</v>
      </c>
      <c r="C21" s="26">
        <v>27</v>
      </c>
      <c r="D21" s="26">
        <v>16</v>
      </c>
      <c r="E21" s="26">
        <v>0</v>
      </c>
      <c r="F21" s="202">
        <f>+C21+8+4+18+29+36+31+18</f>
        <v>171</v>
      </c>
      <c r="G21" s="27">
        <f t="shared" si="1"/>
        <v>27</v>
      </c>
      <c r="H21" s="28" t="e">
        <f>+G21+#REF!+#REF!</f>
        <v>#REF!</v>
      </c>
    </row>
    <row r="22" spans="1:8" s="29" customFormat="1" ht="11.25">
      <c r="A22" s="30" t="s">
        <v>58</v>
      </c>
      <c r="B22" s="31" t="s">
        <v>51</v>
      </c>
      <c r="C22" s="26">
        <v>3</v>
      </c>
      <c r="D22" s="26">
        <v>4</v>
      </c>
      <c r="E22" s="26">
        <v>0</v>
      </c>
      <c r="F22" s="202">
        <f>+C22+5+1+1+7+9+20+3</f>
        <v>49</v>
      </c>
      <c r="G22" s="27">
        <f t="shared" si="1"/>
        <v>3</v>
      </c>
      <c r="H22" s="28" t="e">
        <f>+G22+#REF!+#REF!</f>
        <v>#REF!</v>
      </c>
    </row>
    <row r="23" spans="1:8" s="29" customFormat="1" ht="11.25">
      <c r="A23" s="30" t="s">
        <v>59</v>
      </c>
      <c r="B23" s="31" t="s">
        <v>51</v>
      </c>
      <c r="C23" s="26">
        <v>10</v>
      </c>
      <c r="D23" s="26">
        <v>12</v>
      </c>
      <c r="E23" s="26">
        <v>0</v>
      </c>
      <c r="F23" s="202">
        <f>+C23+8+1+12+22+8+21+8</f>
        <v>90</v>
      </c>
      <c r="G23" s="27">
        <f t="shared" si="1"/>
        <v>10</v>
      </c>
      <c r="H23" s="28" t="e">
        <f>+G23+#REF!+#REF!</f>
        <v>#REF!</v>
      </c>
    </row>
    <row r="24" spans="1:8" s="29" customFormat="1" ht="11.25">
      <c r="A24" s="30" t="s">
        <v>60</v>
      </c>
      <c r="B24" s="31" t="s">
        <v>51</v>
      </c>
      <c r="C24" s="26"/>
      <c r="D24" s="26"/>
      <c r="E24" s="26">
        <v>0</v>
      </c>
      <c r="F24" s="202">
        <f>+C24</f>
        <v>0</v>
      </c>
      <c r="G24" s="27">
        <f t="shared" si="1"/>
        <v>0</v>
      </c>
      <c r="H24" s="28" t="e">
        <f>+G24+#REF!+#REF!</f>
        <v>#REF!</v>
      </c>
    </row>
    <row r="25" spans="1:8" s="29" customFormat="1" ht="11.25">
      <c r="A25" s="30" t="s">
        <v>61</v>
      </c>
      <c r="B25" s="31" t="s">
        <v>51</v>
      </c>
      <c r="C25" s="26"/>
      <c r="D25" s="26"/>
      <c r="E25" s="26">
        <v>0</v>
      </c>
      <c r="F25" s="202">
        <f>+C25</f>
        <v>0</v>
      </c>
      <c r="G25" s="27">
        <f t="shared" si="1"/>
        <v>0</v>
      </c>
      <c r="H25" s="28" t="e">
        <f>+G25+#REF!+#REF!</f>
        <v>#REF!</v>
      </c>
    </row>
    <row r="26" spans="1:8" s="29" customFormat="1" ht="11.25">
      <c r="A26" s="30"/>
      <c r="B26" s="31"/>
      <c r="C26" s="26"/>
      <c r="D26" s="26"/>
      <c r="E26" s="26"/>
      <c r="F26" s="202"/>
      <c r="G26" s="27" t="s">
        <v>32</v>
      </c>
      <c r="H26" s="28" t="s">
        <v>32</v>
      </c>
    </row>
    <row r="27" spans="1:8" s="29" customFormat="1" ht="11.25">
      <c r="A27" s="30" t="s">
        <v>62</v>
      </c>
      <c r="B27" s="31"/>
      <c r="C27" s="26"/>
      <c r="D27" s="26"/>
      <c r="E27" s="26" t="s">
        <v>32</v>
      </c>
      <c r="F27" s="202">
        <f>+C27</f>
        <v>0</v>
      </c>
      <c r="G27" s="27" t="s">
        <v>32</v>
      </c>
      <c r="H27" s="28" t="s">
        <v>32</v>
      </c>
    </row>
    <row r="28" spans="1:8" s="29" customFormat="1" ht="11.25">
      <c r="A28" s="30" t="s">
        <v>63</v>
      </c>
      <c r="B28" s="31" t="s">
        <v>51</v>
      </c>
      <c r="C28" s="26"/>
      <c r="D28" s="26"/>
      <c r="E28" s="26">
        <v>0</v>
      </c>
      <c r="F28" s="202">
        <f>+C28</f>
        <v>0</v>
      </c>
      <c r="G28" s="27">
        <f>0+C28</f>
        <v>0</v>
      </c>
      <c r="H28" s="28" t="e">
        <f>+G28+#REF!+#REF!</f>
        <v>#REF!</v>
      </c>
    </row>
    <row r="29" spans="1:8" s="29" customFormat="1" ht="11.25">
      <c r="A29" s="30" t="s">
        <v>64</v>
      </c>
      <c r="B29" s="31" t="s">
        <v>45</v>
      </c>
      <c r="C29" s="26">
        <v>21</v>
      </c>
      <c r="D29" s="26">
        <v>27</v>
      </c>
      <c r="E29" s="26">
        <v>0</v>
      </c>
      <c r="F29" s="202">
        <f>+C29+18+5+56+86+47+36+30</f>
        <v>299</v>
      </c>
      <c r="G29" s="27">
        <f>0+C29</f>
        <v>21</v>
      </c>
      <c r="H29" s="28" t="e">
        <f>+G29+#REF!+#REF!</f>
        <v>#REF!</v>
      </c>
    </row>
    <row r="30" spans="1:8" s="29" customFormat="1" ht="11.25">
      <c r="A30" s="30"/>
      <c r="B30" s="31"/>
      <c r="C30" s="26"/>
      <c r="D30" s="26"/>
      <c r="E30" s="26"/>
      <c r="F30" s="202"/>
      <c r="G30" s="27" t="s">
        <v>32</v>
      </c>
      <c r="H30" s="28" t="s">
        <v>32</v>
      </c>
    </row>
    <row r="31" spans="1:8" s="29" customFormat="1" ht="11.25">
      <c r="A31" s="30" t="s">
        <v>65</v>
      </c>
      <c r="B31" s="31" t="s">
        <v>45</v>
      </c>
      <c r="C31" s="26">
        <v>0</v>
      </c>
      <c r="D31" s="26"/>
      <c r="E31" s="26"/>
      <c r="F31" s="202">
        <f>+C31+2+1+10</f>
        <v>13</v>
      </c>
      <c r="G31" s="27">
        <f>0+C31</f>
        <v>0</v>
      </c>
      <c r="H31" s="28" t="e">
        <f>+G31+#REF!+#REF!</f>
        <v>#REF!</v>
      </c>
    </row>
    <row r="32" spans="1:8" s="29" customFormat="1" ht="11.25">
      <c r="A32" s="30"/>
      <c r="B32" s="31"/>
      <c r="C32" s="26"/>
      <c r="D32" s="26"/>
      <c r="E32" s="26"/>
      <c r="F32" s="202"/>
      <c r="G32" s="27" t="s">
        <v>32</v>
      </c>
      <c r="H32" s="28" t="s">
        <v>32</v>
      </c>
    </row>
    <row r="33" spans="1:8" s="29" customFormat="1" ht="11.25">
      <c r="A33" s="30" t="s">
        <v>66</v>
      </c>
      <c r="B33" s="31" t="s">
        <v>45</v>
      </c>
      <c r="C33" s="26">
        <v>544</v>
      </c>
      <c r="D33" s="26">
        <v>214</v>
      </c>
      <c r="E33" s="26"/>
      <c r="F33" s="202">
        <f>+C33+9+270+253+148+179+875+421</f>
        <v>2699</v>
      </c>
      <c r="G33" s="27">
        <f>+F33</f>
        <v>2699</v>
      </c>
      <c r="H33" s="28" t="e">
        <f>+G33+#REF!+#REF!</f>
        <v>#REF!</v>
      </c>
    </row>
    <row r="34" spans="1:8" s="29" customFormat="1" ht="11.25">
      <c r="A34" s="30" t="s">
        <v>67</v>
      </c>
      <c r="B34" s="31" t="s">
        <v>45</v>
      </c>
      <c r="C34" s="26"/>
      <c r="D34" s="26"/>
      <c r="E34" s="26"/>
      <c r="F34" s="202">
        <f>+C34</f>
        <v>0</v>
      </c>
      <c r="G34" s="27">
        <f>0+C34</f>
        <v>0</v>
      </c>
      <c r="H34" s="28" t="e">
        <f>+G34+#REF!+#REF!</f>
        <v>#REF!</v>
      </c>
    </row>
    <row r="35" spans="1:8" s="29" customFormat="1" ht="11.25">
      <c r="A35" s="30"/>
      <c r="B35" s="31"/>
      <c r="C35" s="26"/>
      <c r="D35" s="26"/>
      <c r="E35" s="26"/>
      <c r="F35" s="202"/>
      <c r="G35" s="27" t="s">
        <v>32</v>
      </c>
      <c r="H35" s="28" t="s">
        <v>32</v>
      </c>
    </row>
    <row r="36" spans="1:8" s="29" customFormat="1" ht="11.25">
      <c r="A36" s="30" t="s">
        <v>68</v>
      </c>
      <c r="B36" s="31" t="s">
        <v>45</v>
      </c>
      <c r="C36" s="26">
        <v>21065</v>
      </c>
      <c r="D36" s="26">
        <v>36427</v>
      </c>
      <c r="E36" s="26">
        <v>0</v>
      </c>
      <c r="F36" s="202">
        <f>+C36+3508+22485+16152+13946+7004+34963+16084</f>
        <v>135207</v>
      </c>
      <c r="G36" s="27">
        <f>+F36</f>
        <v>135207</v>
      </c>
      <c r="H36" s="28" t="e">
        <f>+G36+#REF!+#REF!</f>
        <v>#REF!</v>
      </c>
    </row>
    <row r="37" spans="1:8" s="29" customFormat="1" ht="11.25">
      <c r="A37" s="30" t="s">
        <v>69</v>
      </c>
      <c r="B37" s="31" t="s">
        <v>45</v>
      </c>
      <c r="C37" s="26">
        <v>27</v>
      </c>
      <c r="D37" s="26">
        <v>10</v>
      </c>
      <c r="E37" s="26">
        <v>0</v>
      </c>
      <c r="F37" s="202">
        <f>+C37+2+7+7+28+23+54+10</f>
        <v>158</v>
      </c>
      <c r="G37" s="27">
        <f>+F37</f>
        <v>158</v>
      </c>
      <c r="H37" s="28" t="e">
        <f>+G37+#REF!+#REF!</f>
        <v>#REF!</v>
      </c>
    </row>
    <row r="38" spans="1:8" s="29" customFormat="1" ht="11.25">
      <c r="A38" s="30"/>
      <c r="B38" s="31"/>
      <c r="C38" s="26"/>
      <c r="D38" s="26"/>
      <c r="E38" s="26"/>
      <c r="F38" s="202"/>
      <c r="G38" s="27" t="s">
        <v>32</v>
      </c>
      <c r="H38" s="28" t="s">
        <v>32</v>
      </c>
    </row>
    <row r="39" spans="1:11" s="29" customFormat="1" ht="11.25" customHeight="1">
      <c r="A39" s="30" t="s">
        <v>70</v>
      </c>
      <c r="B39" s="31" t="s">
        <v>45</v>
      </c>
      <c r="C39" s="26">
        <v>2498</v>
      </c>
      <c r="D39" s="26">
        <v>591</v>
      </c>
      <c r="E39" s="26">
        <v>0</v>
      </c>
      <c r="F39" s="202">
        <f>+C39+200+1538+1744+1568+1249+3323+1924</f>
        <v>14044</v>
      </c>
      <c r="G39" s="27">
        <f>+F39</f>
        <v>14044</v>
      </c>
      <c r="H39" s="28" t="e">
        <f>+G39+#REF!+#REF!</f>
        <v>#REF!</v>
      </c>
      <c r="J39" s="259"/>
      <c r="K39" s="252"/>
    </row>
    <row r="40" spans="1:8" s="29" customFormat="1" ht="11.25">
      <c r="A40" s="30"/>
      <c r="B40" s="31"/>
      <c r="C40" s="26"/>
      <c r="D40" s="26"/>
      <c r="E40" s="26"/>
      <c r="F40" s="202">
        <f>+C40</f>
        <v>0</v>
      </c>
      <c r="G40" s="27" t="s">
        <v>32</v>
      </c>
      <c r="H40" s="28" t="s">
        <v>32</v>
      </c>
    </row>
    <row r="41" spans="1:8" s="29" customFormat="1" ht="11.25">
      <c r="A41" s="30" t="s">
        <v>14</v>
      </c>
      <c r="B41" s="31"/>
      <c r="C41" s="26"/>
      <c r="D41" s="26"/>
      <c r="E41" s="26"/>
      <c r="F41" s="202"/>
      <c r="G41" s="27">
        <v>0</v>
      </c>
      <c r="H41" s="28" t="e">
        <f>+G41+#REF!+#REF!</f>
        <v>#REF!</v>
      </c>
    </row>
    <row r="42" spans="1:8" s="29" customFormat="1" ht="11.25">
      <c r="A42" s="30" t="s">
        <v>71</v>
      </c>
      <c r="B42" s="31"/>
      <c r="C42" s="26"/>
      <c r="D42" s="26"/>
      <c r="E42" s="26">
        <v>0</v>
      </c>
      <c r="F42" s="202">
        <f>+C42</f>
        <v>0</v>
      </c>
      <c r="G42" s="27">
        <v>0</v>
      </c>
      <c r="H42" s="28" t="e">
        <f>+G42+#REF!+#REF!</f>
        <v>#REF!</v>
      </c>
    </row>
    <row r="43" spans="1:8" s="29" customFormat="1" ht="11.25">
      <c r="A43" s="33" t="s">
        <v>72</v>
      </c>
      <c r="B43" s="31"/>
      <c r="C43" s="26"/>
      <c r="D43" s="26"/>
      <c r="E43" s="26">
        <v>0</v>
      </c>
      <c r="F43" s="202">
        <f>+C43</f>
        <v>0</v>
      </c>
      <c r="G43" s="27">
        <v>0</v>
      </c>
      <c r="H43" s="28" t="e">
        <f>+G43+#REF!+#REF!</f>
        <v>#REF!</v>
      </c>
    </row>
    <row r="44" spans="1:8" s="29" customFormat="1" ht="11.25">
      <c r="A44" s="34" t="s">
        <v>73</v>
      </c>
      <c r="B44" s="31"/>
      <c r="C44" s="26"/>
      <c r="D44" s="26"/>
      <c r="E44" s="26">
        <v>0</v>
      </c>
      <c r="F44" s="202">
        <f>+C44</f>
        <v>0</v>
      </c>
      <c r="G44" s="27">
        <v>0</v>
      </c>
      <c r="H44" s="28" t="e">
        <f>+G44+#REF!+#REF!</f>
        <v>#REF!</v>
      </c>
    </row>
    <row r="45" spans="1:8" s="29" customFormat="1" ht="11.25">
      <c r="A45" s="30"/>
      <c r="B45" s="31"/>
      <c r="C45" s="26"/>
      <c r="D45" s="26"/>
      <c r="E45" s="26"/>
      <c r="F45" s="202"/>
      <c r="G45" s="27" t="s">
        <v>32</v>
      </c>
      <c r="H45" s="28" t="s">
        <v>32</v>
      </c>
    </row>
    <row r="46" spans="1:8" s="29" customFormat="1" ht="11.25">
      <c r="A46" s="30" t="s">
        <v>74</v>
      </c>
      <c r="B46" s="31"/>
      <c r="C46" s="26"/>
      <c r="D46" s="26"/>
      <c r="E46" s="26"/>
      <c r="F46" s="202"/>
      <c r="G46" s="27" t="s">
        <v>32</v>
      </c>
      <c r="H46" s="28" t="s">
        <v>32</v>
      </c>
    </row>
    <row r="47" spans="1:8" s="29" customFormat="1" ht="11.25">
      <c r="A47" s="34" t="s">
        <v>72</v>
      </c>
      <c r="B47" s="31" t="s">
        <v>45</v>
      </c>
      <c r="C47" s="26">
        <v>88</v>
      </c>
      <c r="D47" s="26">
        <v>28</v>
      </c>
      <c r="E47" s="26">
        <v>0</v>
      </c>
      <c r="F47" s="250">
        <f>+C47+19+25+9+67+223+8</f>
        <v>439</v>
      </c>
      <c r="G47" s="27">
        <v>0</v>
      </c>
      <c r="H47" s="28" t="e">
        <f>+G47+#REF!+#REF!</f>
        <v>#REF!</v>
      </c>
    </row>
    <row r="48" spans="1:8" s="29" customFormat="1" ht="11.25">
      <c r="A48" s="34" t="s">
        <v>73</v>
      </c>
      <c r="B48" s="31" t="s">
        <v>45</v>
      </c>
      <c r="C48" s="26">
        <v>41</v>
      </c>
      <c r="D48" s="26">
        <v>37</v>
      </c>
      <c r="E48" s="26">
        <v>0</v>
      </c>
      <c r="F48" s="202">
        <f>+C48+4+17</f>
        <v>62</v>
      </c>
      <c r="G48" s="27">
        <v>0</v>
      </c>
      <c r="H48" s="28" t="e">
        <f>+G48+#REF!+#REF!</f>
        <v>#REF!</v>
      </c>
    </row>
    <row r="49" spans="1:8" s="29" customFormat="1" ht="11.25">
      <c r="A49" s="30" t="s">
        <v>75</v>
      </c>
      <c r="B49" s="31" t="s">
        <v>51</v>
      </c>
      <c r="C49" s="26">
        <v>27</v>
      </c>
      <c r="D49" s="26">
        <v>33</v>
      </c>
      <c r="E49" s="26">
        <v>0</v>
      </c>
      <c r="F49" s="202">
        <f>+C49+3+30</f>
        <v>60</v>
      </c>
      <c r="G49" s="27">
        <v>0</v>
      </c>
      <c r="H49" s="28" t="e">
        <f>+G49+#REF!+#REF!</f>
        <v>#REF!</v>
      </c>
    </row>
    <row r="50" spans="1:8" s="29" customFormat="1" ht="11.25">
      <c r="A50" s="30" t="s">
        <v>76</v>
      </c>
      <c r="B50" s="31" t="s">
        <v>45</v>
      </c>
      <c r="C50" s="26"/>
      <c r="D50" s="26"/>
      <c r="E50" s="26">
        <v>0</v>
      </c>
      <c r="F50" s="202">
        <f>+C50</f>
        <v>0</v>
      </c>
      <c r="G50" s="27">
        <v>0</v>
      </c>
      <c r="H50" s="28" t="e">
        <f>+G50+#REF!+#REF!</f>
        <v>#REF!</v>
      </c>
    </row>
    <row r="51" spans="1:8" s="29" customFormat="1" ht="11.25">
      <c r="A51" s="30" t="s">
        <v>77</v>
      </c>
      <c r="B51" s="31" t="s">
        <v>45</v>
      </c>
      <c r="C51" s="26"/>
      <c r="D51" s="26"/>
      <c r="E51" s="26">
        <v>0</v>
      </c>
      <c r="F51" s="202">
        <f>+C51</f>
        <v>0</v>
      </c>
      <c r="G51" s="27">
        <v>0</v>
      </c>
      <c r="H51" s="28" t="e">
        <f>+G51+#REF!+#REF!</f>
        <v>#REF!</v>
      </c>
    </row>
    <row r="52" spans="1:8" s="29" customFormat="1" ht="11.25">
      <c r="A52" s="30" t="s">
        <v>78</v>
      </c>
      <c r="B52" s="31" t="s">
        <v>45</v>
      </c>
      <c r="C52" s="26"/>
      <c r="D52" s="26"/>
      <c r="E52" s="26">
        <v>0</v>
      </c>
      <c r="F52" s="202">
        <f>+C52</f>
        <v>0</v>
      </c>
      <c r="G52" s="27">
        <v>0</v>
      </c>
      <c r="H52" s="28" t="e">
        <f>+G52+#REF!+#REF!</f>
        <v>#REF!</v>
      </c>
    </row>
    <row r="53" spans="1:8" s="29" customFormat="1" ht="11.25">
      <c r="A53" s="30" t="s">
        <v>79</v>
      </c>
      <c r="B53" s="31" t="s">
        <v>45</v>
      </c>
      <c r="C53" s="26">
        <v>52</v>
      </c>
      <c r="D53" s="26">
        <v>37</v>
      </c>
      <c r="E53" s="26">
        <v>0</v>
      </c>
      <c r="F53" s="202">
        <f>+C53+6</f>
        <v>58</v>
      </c>
      <c r="G53" s="27">
        <v>0</v>
      </c>
      <c r="H53" s="28" t="e">
        <f>+G53+#REF!+#REF!</f>
        <v>#REF!</v>
      </c>
    </row>
    <row r="54" spans="1:8" s="29" customFormat="1" ht="11.25">
      <c r="A54" s="30" t="s">
        <v>80</v>
      </c>
      <c r="B54" s="31" t="s">
        <v>45</v>
      </c>
      <c r="C54" s="26"/>
      <c r="D54" s="26"/>
      <c r="E54" s="26">
        <v>0</v>
      </c>
      <c r="F54" s="202">
        <f>+C54</f>
        <v>0</v>
      </c>
      <c r="G54" s="27">
        <v>0</v>
      </c>
      <c r="H54" s="28" t="e">
        <f>+G54+#REF!+#REF!</f>
        <v>#REF!</v>
      </c>
    </row>
    <row r="55" spans="1:8" s="29" customFormat="1" ht="11.25">
      <c r="A55" s="30"/>
      <c r="B55" s="31"/>
      <c r="C55" s="26"/>
      <c r="D55" s="26"/>
      <c r="E55" s="26"/>
      <c r="F55" s="202"/>
      <c r="G55" s="27" t="s">
        <v>32</v>
      </c>
      <c r="H55" s="28" t="s">
        <v>32</v>
      </c>
    </row>
    <row r="56" spans="1:8" s="29" customFormat="1" ht="11.25">
      <c r="A56" s="30" t="s">
        <v>81</v>
      </c>
      <c r="B56" s="31"/>
      <c r="C56" s="26"/>
      <c r="D56" s="26"/>
      <c r="E56" s="26"/>
      <c r="F56" s="202"/>
      <c r="G56" s="27" t="s">
        <v>32</v>
      </c>
      <c r="H56" s="28" t="s">
        <v>32</v>
      </c>
    </row>
    <row r="57" spans="1:11" s="29" customFormat="1" ht="11.25">
      <c r="A57" s="30" t="s">
        <v>82</v>
      </c>
      <c r="B57" s="31" t="s">
        <v>51</v>
      </c>
      <c r="C57" s="26">
        <v>4746</v>
      </c>
      <c r="D57" s="26">
        <v>2049</v>
      </c>
      <c r="E57" s="26">
        <v>0</v>
      </c>
      <c r="F57" s="202">
        <f>+C57+834+4750+4884+3434+1960+6738-3+5780</f>
        <v>33123</v>
      </c>
      <c r="G57" s="27" t="s">
        <v>32</v>
      </c>
      <c r="H57" s="28" t="s">
        <v>32</v>
      </c>
      <c r="K57" s="252"/>
    </row>
    <row r="58" spans="1:10" s="29" customFormat="1" ht="11.25">
      <c r="A58" s="30" t="s">
        <v>83</v>
      </c>
      <c r="B58" s="31" t="s">
        <v>51</v>
      </c>
      <c r="C58" s="26">
        <v>7160</v>
      </c>
      <c r="D58" s="26">
        <v>7019</v>
      </c>
      <c r="E58" s="26">
        <v>0</v>
      </c>
      <c r="F58" s="202">
        <f>+C58+719+10413+2537+5003+3050+5610+2015</f>
        <v>36507</v>
      </c>
      <c r="G58" s="27">
        <f>+F58</f>
        <v>36507</v>
      </c>
      <c r="H58" s="28" t="e">
        <f>+G58+#REF!+#REF!</f>
        <v>#REF!</v>
      </c>
      <c r="J58" s="252"/>
    </row>
    <row r="59" spans="1:8" s="29" customFormat="1" ht="11.25">
      <c r="A59" s="35" t="s">
        <v>84</v>
      </c>
      <c r="B59" s="36"/>
      <c r="C59" s="32"/>
      <c r="D59" s="32"/>
      <c r="E59" s="26"/>
      <c r="F59" s="202"/>
      <c r="G59" s="27">
        <v>0</v>
      </c>
      <c r="H59" s="28" t="e">
        <f>+G59+#REF!+#REF!</f>
        <v>#REF!</v>
      </c>
    </row>
    <row r="60" spans="1:8" s="29" customFormat="1" ht="11.25">
      <c r="A60" s="37"/>
      <c r="B60" s="36"/>
      <c r="C60" s="32"/>
      <c r="D60" s="32"/>
      <c r="E60" s="26"/>
      <c r="F60" s="202"/>
      <c r="G60" s="27" t="s">
        <v>32</v>
      </c>
      <c r="H60" s="28" t="s">
        <v>32</v>
      </c>
    </row>
    <row r="61" spans="1:8" s="29" customFormat="1" ht="11.25">
      <c r="A61" s="35" t="s">
        <v>85</v>
      </c>
      <c r="B61" s="36" t="s">
        <v>51</v>
      </c>
      <c r="C61" s="32">
        <v>41</v>
      </c>
      <c r="D61" s="32">
        <v>18</v>
      </c>
      <c r="E61" s="26">
        <v>0</v>
      </c>
      <c r="F61" s="202">
        <f>+C61+8+4+38+54+68+35+22</f>
        <v>270</v>
      </c>
      <c r="G61" s="27">
        <f>+F61</f>
        <v>270</v>
      </c>
      <c r="H61" s="28" t="e">
        <f>+G61+#REF!+#REF!</f>
        <v>#REF!</v>
      </c>
    </row>
    <row r="62" spans="1:8" s="29" customFormat="1" ht="12" customHeight="1" thickBot="1">
      <c r="A62" s="38" t="s">
        <v>86</v>
      </c>
      <c r="B62" s="39" t="s">
        <v>51</v>
      </c>
      <c r="C62" s="40">
        <v>4746</v>
      </c>
      <c r="D62" s="40">
        <v>2049</v>
      </c>
      <c r="E62" s="40">
        <v>0</v>
      </c>
      <c r="F62" s="239">
        <f>+C62+1056+10073-664+3434+1960+6738+5780</f>
        <v>33123</v>
      </c>
      <c r="G62" s="59">
        <f>+G58+G39</f>
        <v>50551</v>
      </c>
      <c r="H62" s="60" t="e">
        <f>+G62+#REF!+#REF!</f>
        <v>#REF!</v>
      </c>
    </row>
    <row r="63" spans="1:8" ht="12.75" customHeight="1">
      <c r="A63" s="41" t="s">
        <v>32</v>
      </c>
      <c r="B63" s="41"/>
      <c r="C63" s="41"/>
      <c r="D63" s="41"/>
      <c r="E63" s="41"/>
      <c r="F63" s="41"/>
      <c r="G63" s="41"/>
      <c r="H63" s="41"/>
    </row>
    <row r="64" spans="1:8" ht="12.75" customHeight="1">
      <c r="A64" s="41" t="s">
        <v>32</v>
      </c>
      <c r="B64" s="41"/>
      <c r="C64" s="41"/>
      <c r="D64" s="41"/>
      <c r="E64" s="41"/>
      <c r="F64" s="41"/>
      <c r="G64" s="41"/>
      <c r="H64" s="41"/>
    </row>
    <row r="65" spans="1:8" ht="12.75">
      <c r="A65" s="42" t="s">
        <v>193</v>
      </c>
      <c r="B65" s="146"/>
      <c r="C65" s="42"/>
      <c r="D65" s="42"/>
      <c r="E65" s="42"/>
      <c r="F65" s="42"/>
      <c r="G65"/>
      <c r="H65"/>
    </row>
    <row r="66" spans="1:7" ht="12.75">
      <c r="A66" s="147"/>
      <c r="B66" s="43"/>
      <c r="C66" s="44"/>
      <c r="F66" s="44"/>
      <c r="G66" s="44"/>
    </row>
    <row r="67" spans="1:7" ht="12.75">
      <c r="A67" s="43"/>
      <c r="B67" s="43"/>
      <c r="C67" s="44"/>
      <c r="F67" s="44"/>
      <c r="G67" s="44"/>
    </row>
    <row r="68" spans="1:7" ht="12.75">
      <c r="A68" s="43"/>
      <c r="B68" s="43"/>
      <c r="C68" s="44"/>
      <c r="F68" s="44"/>
      <c r="G68" s="44"/>
    </row>
    <row r="69" spans="1:7" ht="12.75">
      <c r="A69" s="43"/>
      <c r="B69" s="43"/>
      <c r="C69" s="44"/>
      <c r="F69" s="44"/>
      <c r="G69" s="44"/>
    </row>
    <row r="70" spans="1:7" ht="12.75">
      <c r="A70" s="43"/>
      <c r="B70" s="43"/>
      <c r="C70" s="44"/>
      <c r="F70" s="44"/>
      <c r="G70" s="44"/>
    </row>
    <row r="71" spans="1:7" ht="12.75">
      <c r="A71" s="43"/>
      <c r="B71" s="43"/>
      <c r="C71" s="44"/>
      <c r="F71" s="44"/>
      <c r="G71" s="44"/>
    </row>
    <row r="72" spans="1:7" ht="12.75">
      <c r="A72" s="43"/>
      <c r="B72" s="43"/>
      <c r="C72" s="44"/>
      <c r="F72" s="44"/>
      <c r="G72" s="44"/>
    </row>
    <row r="73" spans="1:7" ht="12.75">
      <c r="A73" s="43"/>
      <c r="B73" s="43"/>
      <c r="C73" s="44"/>
      <c r="F73" s="44"/>
      <c r="G73" s="44"/>
    </row>
    <row r="74" spans="1:7" ht="12.75">
      <c r="A74" s="43"/>
      <c r="B74" s="43"/>
      <c r="C74" s="44"/>
      <c r="F74" s="44"/>
      <c r="G74" s="44"/>
    </row>
    <row r="75" spans="1:7" ht="12.75">
      <c r="A75" s="43"/>
      <c r="B75" s="43"/>
      <c r="C75" s="44"/>
      <c r="F75" s="44"/>
      <c r="G75" s="44"/>
    </row>
    <row r="76" spans="1:7" ht="12.75">
      <c r="A76" s="43"/>
      <c r="B76" s="43"/>
      <c r="C76" s="44"/>
      <c r="F76" s="44"/>
      <c r="G76" s="44"/>
    </row>
    <row r="77" spans="1:7" ht="12.75">
      <c r="A77" s="43"/>
      <c r="B77" s="43"/>
      <c r="C77" s="44"/>
      <c r="F77" s="44"/>
      <c r="G77" s="44"/>
    </row>
    <row r="78" spans="1:7" ht="12.75">
      <c r="A78" s="43"/>
      <c r="B78" s="43"/>
      <c r="C78" s="44"/>
      <c r="F78" s="44"/>
      <c r="G78" s="44"/>
    </row>
    <row r="79" spans="1:7" ht="12.75">
      <c r="A79" s="43"/>
      <c r="B79" s="43"/>
      <c r="C79" s="44"/>
      <c r="F79" s="44"/>
      <c r="G79" s="44"/>
    </row>
    <row r="80" spans="1:7" ht="12.75">
      <c r="A80" s="43"/>
      <c r="B80" s="43"/>
      <c r="C80" s="44"/>
      <c r="F80" s="44"/>
      <c r="G80" s="44"/>
    </row>
    <row r="81" spans="1:7" ht="12.75">
      <c r="A81" s="43"/>
      <c r="B81" s="43"/>
      <c r="C81" s="44"/>
      <c r="F81" s="44"/>
      <c r="G81" s="44"/>
    </row>
    <row r="82" spans="1:7" ht="12.75">
      <c r="A82" s="43"/>
      <c r="B82" s="43"/>
      <c r="C82" s="44"/>
      <c r="F82" s="44"/>
      <c r="G82" s="44"/>
    </row>
    <row r="83" spans="1:7" ht="12.75">
      <c r="A83" s="43"/>
      <c r="B83" s="43"/>
      <c r="C83" s="44"/>
      <c r="F83" s="44"/>
      <c r="G83" s="44"/>
    </row>
    <row r="84" spans="1:7" ht="12.75">
      <c r="A84" s="43"/>
      <c r="B84" s="43"/>
      <c r="C84" s="44"/>
      <c r="F84" s="44"/>
      <c r="G84" s="44"/>
    </row>
    <row r="85" spans="1:7" ht="12.75">
      <c r="A85" s="43"/>
      <c r="B85" s="43"/>
      <c r="C85" s="44"/>
      <c r="F85" s="44"/>
      <c r="G85" s="44"/>
    </row>
    <row r="86" spans="1:7" ht="12.75">
      <c r="A86" s="43"/>
      <c r="B86" s="43"/>
      <c r="C86" s="44"/>
      <c r="F86" s="44"/>
      <c r="G86" s="44"/>
    </row>
    <row r="87" spans="1:7" ht="12.75">
      <c r="A87" s="43"/>
      <c r="B87" s="43"/>
      <c r="C87" s="44"/>
      <c r="F87" s="44"/>
      <c r="G87" s="44"/>
    </row>
    <row r="88" spans="1:7" ht="12.75">
      <c r="A88" s="43"/>
      <c r="B88" s="43"/>
      <c r="C88" s="44"/>
      <c r="F88" s="44"/>
      <c r="G88" s="44"/>
    </row>
    <row r="89" spans="1:7" ht="12.75">
      <c r="A89" s="43"/>
      <c r="B89" s="43"/>
      <c r="C89" s="44"/>
      <c r="F89" s="44"/>
      <c r="G89" s="44"/>
    </row>
    <row r="90" spans="1:7" ht="12.75">
      <c r="A90" s="43"/>
      <c r="B90" s="43"/>
      <c r="C90" s="44"/>
      <c r="F90" s="44"/>
      <c r="G90" s="44"/>
    </row>
    <row r="91" spans="1:7" ht="12.75">
      <c r="A91" s="43"/>
      <c r="B91" s="43"/>
      <c r="C91" s="44"/>
      <c r="F91" s="44"/>
      <c r="G91" s="44"/>
    </row>
    <row r="92" spans="1:7" ht="12.75">
      <c r="A92" s="43"/>
      <c r="B92" s="43"/>
      <c r="C92" s="44"/>
      <c r="F92" s="44"/>
      <c r="G92" s="44"/>
    </row>
    <row r="93" spans="1:7" ht="12.75">
      <c r="A93" s="43"/>
      <c r="B93" s="43"/>
      <c r="C93" s="44"/>
      <c r="F93" s="44"/>
      <c r="G93" s="44"/>
    </row>
    <row r="94" spans="1:7" ht="12.75">
      <c r="A94" s="43"/>
      <c r="B94" s="43"/>
      <c r="C94" s="44"/>
      <c r="F94" s="44"/>
      <c r="G94" s="44"/>
    </row>
    <row r="95" spans="1:7" ht="12.75">
      <c r="A95" s="43"/>
      <c r="B95" s="43"/>
      <c r="C95" s="44"/>
      <c r="F95" s="44"/>
      <c r="G95" s="44"/>
    </row>
    <row r="96" spans="1:7" ht="12.75">
      <c r="A96" s="43"/>
      <c r="B96" s="43"/>
      <c r="C96" s="44"/>
      <c r="F96" s="44"/>
      <c r="G96" s="44"/>
    </row>
    <row r="97" spans="1:7" ht="12.75">
      <c r="A97" s="43"/>
      <c r="B97" s="43"/>
      <c r="C97" s="44"/>
      <c r="F97" s="44"/>
      <c r="G97" s="44"/>
    </row>
    <row r="98" spans="1:7" ht="12.75">
      <c r="A98" s="43"/>
      <c r="B98" s="43"/>
      <c r="C98" s="44"/>
      <c r="F98" s="44"/>
      <c r="G98" s="44"/>
    </row>
    <row r="99" spans="1:7" ht="12.75">
      <c r="A99" s="43"/>
      <c r="B99" s="43"/>
      <c r="C99" s="44"/>
      <c r="F99" s="44"/>
      <c r="G99" s="44"/>
    </row>
    <row r="100" spans="1:7" ht="12.75">
      <c r="A100" s="43"/>
      <c r="B100" s="43"/>
      <c r="C100" s="44"/>
      <c r="F100" s="44"/>
      <c r="G100" s="44"/>
    </row>
    <row r="101" spans="1:7" ht="12.75">
      <c r="A101" s="43"/>
      <c r="B101" s="43"/>
      <c r="C101" s="44"/>
      <c r="F101" s="44"/>
      <c r="G101" s="44"/>
    </row>
    <row r="102" ht="12.75">
      <c r="B102" s="43"/>
    </row>
    <row r="103" ht="12.75">
      <c r="B103" s="43"/>
    </row>
    <row r="104" ht="12.75">
      <c r="B104" s="43"/>
    </row>
    <row r="105" ht="12.75">
      <c r="B105" s="43"/>
    </row>
    <row r="106" ht="12.75">
      <c r="B106" s="43"/>
    </row>
    <row r="107" ht="12.75">
      <c r="B107" s="43"/>
    </row>
    <row r="108" ht="12.75">
      <c r="B108" s="43"/>
    </row>
    <row r="109" ht="12.75">
      <c r="B109" s="43"/>
    </row>
    <row r="110" ht="12.75">
      <c r="B110" s="43"/>
    </row>
    <row r="111" ht="12.75">
      <c r="B111" s="43"/>
    </row>
    <row r="112" ht="12.75">
      <c r="B112" s="43"/>
    </row>
    <row r="113" ht="12.75">
      <c r="B113" s="43"/>
    </row>
    <row r="114" ht="12.75">
      <c r="B114" s="43"/>
    </row>
    <row r="115" ht="12.75">
      <c r="B115" s="43"/>
    </row>
    <row r="116" ht="12.75">
      <c r="B116" s="43"/>
    </row>
    <row r="117" ht="12.75">
      <c r="B117" s="43"/>
    </row>
    <row r="118" ht="12.75">
      <c r="B118" s="43"/>
    </row>
    <row r="119" ht="12.75">
      <c r="B119" s="43"/>
    </row>
    <row r="120" ht="12.75">
      <c r="B120" s="43"/>
    </row>
    <row r="121" ht="12.75">
      <c r="B121" s="43"/>
    </row>
    <row r="122" ht="12.75">
      <c r="B122" s="43"/>
    </row>
    <row r="123" ht="12.75">
      <c r="B123" s="43"/>
    </row>
    <row r="124" ht="12.75">
      <c r="B124" s="43"/>
    </row>
    <row r="125" ht="12.75">
      <c r="B125" s="43"/>
    </row>
    <row r="126" ht="12.75">
      <c r="B126" s="43"/>
    </row>
    <row r="127" ht="12.75">
      <c r="B127" s="43"/>
    </row>
    <row r="128" ht="12.75">
      <c r="B128" s="43"/>
    </row>
    <row r="129" ht="12.75">
      <c r="B129" s="43"/>
    </row>
    <row r="130" ht="12.75">
      <c r="B130" s="43"/>
    </row>
    <row r="131" ht="12.75">
      <c r="B131" s="43"/>
    </row>
    <row r="132" ht="12.75">
      <c r="B132" s="43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  <row r="149" ht="12.75">
      <c r="B149" s="43"/>
    </row>
    <row r="150" ht="12.75">
      <c r="B150" s="43"/>
    </row>
    <row r="151" ht="12.75">
      <c r="B151" s="43"/>
    </row>
    <row r="152" ht="12.75">
      <c r="B152" s="43"/>
    </row>
    <row r="153" ht="12.75">
      <c r="B153" s="43"/>
    </row>
    <row r="154" ht="12.75">
      <c r="B154" s="43"/>
    </row>
    <row r="155" ht="12.75">
      <c r="B155" s="43"/>
    </row>
    <row r="156" ht="12.75">
      <c r="B156" s="43"/>
    </row>
    <row r="157" ht="12.75">
      <c r="B157" s="43"/>
    </row>
  </sheetData>
  <mergeCells count="2">
    <mergeCell ref="C2:E2"/>
    <mergeCell ref="A1:F1"/>
  </mergeCells>
  <printOptions horizontalCentered="1" verticalCentered="1"/>
  <pageMargins left="0.75" right="0.75" top="0.25" bottom="0.17" header="0.5" footer="0.17"/>
  <pageSetup fitToHeight="1" fitToWidth="1" horizontalDpi="600" verticalDpi="600" orientation="portrait" scale="88" r:id="rId1"/>
  <headerFooter alignWithMargins="0">
    <oddFooter>&amp;L&amp;F  &amp;A&amp;R&amp;D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A1" sqref="A1:M1"/>
    </sheetView>
  </sheetViews>
  <sheetFormatPr defaultColWidth="9.140625" defaultRowHeight="12.75"/>
  <cols>
    <col min="1" max="1" width="26.421875" style="0" customWidth="1"/>
    <col min="2" max="2" width="13.28125" style="13" customWidth="1"/>
    <col min="3" max="3" width="9.00390625" style="13" customWidth="1"/>
    <col min="4" max="4" width="10.00390625" style="222" customWidth="1"/>
    <col min="5" max="5" width="12.8515625" style="13" customWidth="1"/>
    <col min="6" max="6" width="9.7109375" style="0" customWidth="1"/>
    <col min="7" max="7" width="11.7109375" style="0" customWidth="1"/>
    <col min="8" max="8" width="10.7109375" style="0" customWidth="1"/>
    <col min="9" max="9" width="9.28125" style="0" customWidth="1"/>
    <col min="10" max="10" width="11.140625" style="0" customWidth="1"/>
    <col min="11" max="13" width="7.421875" style="0" customWidth="1"/>
    <col min="14" max="16384" width="40.57421875" style="0" customWidth="1"/>
  </cols>
  <sheetData>
    <row r="1" spans="1:13" ht="22.5" customHeight="1" thickBot="1">
      <c r="A1" s="271" t="s">
        <v>211</v>
      </c>
      <c r="B1" s="271" t="e">
        <f>CONCATENATE("Table 6 - CARE Program Expenses – Southern California Edison - As of ",#REF!)</f>
        <v>#REF!</v>
      </c>
      <c r="C1" s="271" t="e">
        <f>CONCATENATE("Table 6 - CARE Program Expenses – Southern California Edison - As of ",#REF!)</f>
        <v>#REF!</v>
      </c>
      <c r="D1" s="271" t="e">
        <f>CONCATENATE("Table 6 - CARE Program Expenses – Southern California Edison - As of ",#REF!)</f>
        <v>#REF!</v>
      </c>
      <c r="E1" s="271" t="e">
        <f>CONCATENATE("Table 6 - CARE Program Expenses – Southern California Edison - As of ",#REF!)</f>
        <v>#REF!</v>
      </c>
      <c r="F1" s="271" t="e">
        <f>CONCATENATE("Table 6 - CARE Program Expenses – Southern California Edison - As of ",#REF!)</f>
        <v>#REF!</v>
      </c>
      <c r="G1" s="271" t="e">
        <f>CONCATENATE("Table 6 - CARE Program Expenses – Southern California Edison - As of ",#REF!)</f>
        <v>#REF!</v>
      </c>
      <c r="H1" s="271" t="e">
        <f>CONCATENATE("Table 6 - CARE Program Expenses – Southern California Edison - As of ",#REF!)</f>
        <v>#REF!</v>
      </c>
      <c r="I1" s="271" t="e">
        <f>CONCATENATE("Table 6 - CARE Program Expenses – Southern California Edison - As of ",#REF!)</f>
        <v>#REF!</v>
      </c>
      <c r="J1" s="271" t="e">
        <f>CONCATENATE("Table 6 - CARE Program Expenses – Southern California Edison - As of ",#REF!)</f>
        <v>#REF!</v>
      </c>
      <c r="K1" s="271" t="e">
        <f>CONCATENATE("Table 6 - CARE Program Expenses – Southern California Edison - As of ",#REF!)</f>
        <v>#REF!</v>
      </c>
      <c r="L1" s="271" t="e">
        <f>CONCATENATE("Table 6 - CARE Program Expenses – Southern California Edison - As of ",#REF!)</f>
        <v>#REF!</v>
      </c>
      <c r="M1" s="271" t="e">
        <f>CONCATENATE("Table 6 - CARE Program Expenses – Southern California Edison - As of ",#REF!)</f>
        <v>#REF!</v>
      </c>
    </row>
    <row r="2" spans="1:13" ht="13.5" thickBot="1">
      <c r="A2" s="4"/>
      <c r="B2" s="203" t="s">
        <v>38</v>
      </c>
      <c r="C2" s="242"/>
      <c r="D2" s="204"/>
      <c r="E2" s="164" t="s">
        <v>0</v>
      </c>
      <c r="F2" s="9"/>
      <c r="G2" s="9"/>
      <c r="H2" s="8" t="s">
        <v>1</v>
      </c>
      <c r="I2" s="9"/>
      <c r="J2" s="10"/>
      <c r="K2" s="8" t="s">
        <v>2</v>
      </c>
      <c r="L2" s="9"/>
      <c r="M2" s="10"/>
    </row>
    <row r="3" spans="1:13" ht="13.5" customHeight="1" thickBot="1">
      <c r="A3" s="256">
        <f>+E9-A4</f>
        <v>697111.5</v>
      </c>
      <c r="B3" s="273" t="s">
        <v>138</v>
      </c>
      <c r="C3" s="274"/>
      <c r="D3" s="154" t="s">
        <v>32</v>
      </c>
      <c r="E3" s="275" t="s">
        <v>138</v>
      </c>
      <c r="F3" s="276"/>
      <c r="G3" s="46" t="s">
        <v>5</v>
      </c>
      <c r="H3" s="275" t="s">
        <v>4</v>
      </c>
      <c r="I3" s="276"/>
      <c r="J3" s="6" t="s">
        <v>32</v>
      </c>
      <c r="K3" s="275" t="s">
        <v>139</v>
      </c>
      <c r="L3" s="276"/>
      <c r="M3" s="6" t="s">
        <v>32</v>
      </c>
    </row>
    <row r="4" spans="1:13" ht="24" customHeight="1" thickBot="1">
      <c r="A4" s="205"/>
      <c r="B4" s="165" t="s">
        <v>140</v>
      </c>
      <c r="C4" s="165" t="s">
        <v>141</v>
      </c>
      <c r="D4" s="155" t="s">
        <v>5</v>
      </c>
      <c r="E4" s="206" t="s">
        <v>142</v>
      </c>
      <c r="F4" s="93" t="s">
        <v>143</v>
      </c>
      <c r="G4" s="15" t="s">
        <v>142</v>
      </c>
      <c r="H4" s="93" t="s">
        <v>140</v>
      </c>
      <c r="I4" s="93" t="s">
        <v>143</v>
      </c>
      <c r="J4" s="14" t="s">
        <v>5</v>
      </c>
      <c r="K4" s="93" t="s">
        <v>140</v>
      </c>
      <c r="L4" s="93" t="s">
        <v>143</v>
      </c>
      <c r="M4" s="14" t="s">
        <v>5</v>
      </c>
    </row>
    <row r="5" spans="1:13" ht="16.5" customHeight="1" thickBot="1">
      <c r="A5" s="15" t="s">
        <v>100</v>
      </c>
      <c r="B5" s="166" t="s">
        <v>101</v>
      </c>
      <c r="C5" s="166" t="s">
        <v>102</v>
      </c>
      <c r="D5" s="156" t="s">
        <v>103</v>
      </c>
      <c r="E5" s="166" t="s">
        <v>104</v>
      </c>
      <c r="F5" s="15" t="s">
        <v>105</v>
      </c>
      <c r="G5" s="15" t="s">
        <v>106</v>
      </c>
      <c r="H5" s="15" t="s">
        <v>107</v>
      </c>
      <c r="I5" s="15" t="s">
        <v>108</v>
      </c>
      <c r="J5" s="15" t="s">
        <v>109</v>
      </c>
      <c r="K5" s="15" t="s">
        <v>110</v>
      </c>
      <c r="L5" s="15" t="s">
        <v>191</v>
      </c>
      <c r="M5" s="15" t="s">
        <v>192</v>
      </c>
    </row>
    <row r="6" spans="1:13" ht="12.75" customHeight="1">
      <c r="A6" s="1" t="s">
        <v>144</v>
      </c>
      <c r="B6" s="207"/>
      <c r="C6" s="243"/>
      <c r="D6" s="157"/>
      <c r="E6" s="207"/>
      <c r="F6" s="94"/>
      <c r="G6" s="95"/>
      <c r="H6" s="96"/>
      <c r="I6" s="97"/>
      <c r="J6" s="98"/>
      <c r="K6" s="99"/>
      <c r="L6" s="100"/>
      <c r="M6" s="102"/>
    </row>
    <row r="7" spans="1:13" ht="12.75" customHeight="1">
      <c r="A7" s="1" t="s">
        <v>194</v>
      </c>
      <c r="B7" s="260">
        <f>5557.62-688</f>
        <v>4869.62</v>
      </c>
      <c r="C7" s="207">
        <v>0</v>
      </c>
      <c r="D7" s="158">
        <f aca="true" t="shared" si="0" ref="D7:D12">+B7+C7</f>
        <v>4869.62</v>
      </c>
      <c r="E7" s="208">
        <f>+B7+5104.18+6047.1+5354.65+8955.16+6758.54+9642.85+7322.43</f>
        <v>54054.53</v>
      </c>
      <c r="F7" s="122">
        <v>0</v>
      </c>
      <c r="G7" s="108">
        <f aca="true" t="shared" si="1" ref="G7:G12">+E7+F7</f>
        <v>54054.53</v>
      </c>
      <c r="H7" s="105">
        <v>100000</v>
      </c>
      <c r="I7" s="106">
        <v>0</v>
      </c>
      <c r="J7" s="107">
        <f aca="true" t="shared" si="2" ref="J7:J12">+H7+I7</f>
        <v>100000</v>
      </c>
      <c r="K7" s="119">
        <f aca="true" t="shared" si="3" ref="K7:K12">+E7/H7</f>
        <v>0.5405453</v>
      </c>
      <c r="L7" s="103" t="s">
        <v>35</v>
      </c>
      <c r="M7" s="104">
        <f aca="true" t="shared" si="4" ref="M7:M12">+G7/J7</f>
        <v>0.5405453</v>
      </c>
    </row>
    <row r="8" spans="1:13" ht="13.5" customHeight="1">
      <c r="A8" s="1" t="s">
        <v>181</v>
      </c>
      <c r="B8" s="261">
        <f>4671.46-1935.17-815.86</f>
        <v>1920.4299999999998</v>
      </c>
      <c r="C8" s="207">
        <v>0</v>
      </c>
      <c r="D8" s="158">
        <f t="shared" si="0"/>
        <v>1920.4299999999998</v>
      </c>
      <c r="E8" s="208">
        <f>+B8+1447.65+1422.8+1516.39+2538.29+3451.9+3067.64+2807.6</f>
        <v>18172.7</v>
      </c>
      <c r="F8" s="122">
        <v>0</v>
      </c>
      <c r="G8" s="108">
        <f t="shared" si="1"/>
        <v>18172.7</v>
      </c>
      <c r="H8" s="105">
        <v>60000</v>
      </c>
      <c r="I8" s="106">
        <v>0</v>
      </c>
      <c r="J8" s="107">
        <f t="shared" si="2"/>
        <v>60000</v>
      </c>
      <c r="K8" s="119">
        <f t="shared" si="3"/>
        <v>0.30287833333333336</v>
      </c>
      <c r="L8" s="103" t="s">
        <v>35</v>
      </c>
      <c r="M8" s="104">
        <f t="shared" si="4"/>
        <v>0.30287833333333336</v>
      </c>
    </row>
    <row r="9" spans="1:13" ht="13.5" customHeight="1">
      <c r="A9" s="1" t="s">
        <v>184</v>
      </c>
      <c r="B9" s="261">
        <f>1422.08-1343.85+8196.46+28832.16+1296+31146.6+7102.89+16597.88-32977.39</f>
        <v>60272.83</v>
      </c>
      <c r="C9" s="207">
        <v>0</v>
      </c>
      <c r="D9" s="158">
        <f t="shared" si="0"/>
        <v>60272.83</v>
      </c>
      <c r="E9" s="208">
        <f>+B9+20544.88+145165.74+27470.77+201899.19+39538.02+67159.7+135060.37</f>
        <v>697111.5</v>
      </c>
      <c r="F9" s="122">
        <v>0</v>
      </c>
      <c r="G9" s="108">
        <f t="shared" si="1"/>
        <v>697111.5</v>
      </c>
      <c r="H9" s="105">
        <v>1533000</v>
      </c>
      <c r="I9" s="106">
        <v>0</v>
      </c>
      <c r="J9" s="107">
        <f t="shared" si="2"/>
        <v>1533000</v>
      </c>
      <c r="K9" s="119">
        <f t="shared" si="3"/>
        <v>0.4547367906066536</v>
      </c>
      <c r="L9" s="103" t="s">
        <v>35</v>
      </c>
      <c r="M9" s="104">
        <f t="shared" si="4"/>
        <v>0.4547367906066536</v>
      </c>
    </row>
    <row r="10" spans="1:13" ht="12.75" customHeight="1">
      <c r="A10" s="1" t="s">
        <v>145</v>
      </c>
      <c r="B10" s="262">
        <f>SUM(B7:B9)</f>
        <v>67062.88</v>
      </c>
      <c r="C10" s="263">
        <v>0</v>
      </c>
      <c r="D10" s="159">
        <f t="shared" si="0"/>
        <v>67062.88</v>
      </c>
      <c r="E10" s="209">
        <f>+E7+E8+E9</f>
        <v>769338.73</v>
      </c>
      <c r="F10" s="109">
        <v>0</v>
      </c>
      <c r="G10" s="113">
        <f t="shared" si="1"/>
        <v>769338.73</v>
      </c>
      <c r="H10" s="111">
        <f>+H7+H8+H9</f>
        <v>1693000</v>
      </c>
      <c r="I10" s="112">
        <v>0</v>
      </c>
      <c r="J10" s="114">
        <f t="shared" si="2"/>
        <v>1693000</v>
      </c>
      <c r="K10" s="150">
        <f t="shared" si="3"/>
        <v>0.4544233490844654</v>
      </c>
      <c r="L10" s="116" t="s">
        <v>35</v>
      </c>
      <c r="M10" s="117">
        <f t="shared" si="4"/>
        <v>0.4544233490844654</v>
      </c>
    </row>
    <row r="11" spans="1:13" ht="12.75" customHeight="1">
      <c r="A11" s="118" t="s">
        <v>146</v>
      </c>
      <c r="B11" s="261">
        <f>9984.04+72196.19</f>
        <v>82180.23000000001</v>
      </c>
      <c r="C11" s="244">
        <v>0</v>
      </c>
      <c r="D11" s="158">
        <f t="shared" si="0"/>
        <v>82180.23000000001</v>
      </c>
      <c r="E11" s="208">
        <f>+B11+54050.62+48838.87+102649.05+61269.05+61266.53+62321.3+57173.13</f>
        <v>529748.7799999999</v>
      </c>
      <c r="F11" s="122">
        <v>0</v>
      </c>
      <c r="G11" s="108">
        <f t="shared" si="1"/>
        <v>529748.7799999999</v>
      </c>
      <c r="H11" s="105">
        <v>600000</v>
      </c>
      <c r="I11" s="106">
        <v>0</v>
      </c>
      <c r="J11" s="107">
        <f t="shared" si="2"/>
        <v>600000</v>
      </c>
      <c r="K11" s="119">
        <f t="shared" si="3"/>
        <v>0.8829146333333332</v>
      </c>
      <c r="L11" s="120" t="s">
        <v>35</v>
      </c>
      <c r="M11" s="104">
        <f t="shared" si="4"/>
        <v>0.8829146333333332</v>
      </c>
    </row>
    <row r="12" spans="1:13" s="16" customFormat="1" ht="12.75" customHeight="1">
      <c r="A12" s="1" t="s">
        <v>147</v>
      </c>
      <c r="B12" s="261">
        <f>1935.17+3190.75+1935.17+2121.99+8574.62-2852.72</f>
        <v>14904.980000000001</v>
      </c>
      <c r="C12" s="207">
        <v>0</v>
      </c>
      <c r="D12" s="158">
        <f t="shared" si="0"/>
        <v>14904.980000000001</v>
      </c>
      <c r="E12" s="208">
        <f>+B12+3054.35+19780.94+5652.55+3915.7+20031.44+24886.62+49470.24</f>
        <v>141696.82</v>
      </c>
      <c r="F12" s="122">
        <v>0</v>
      </c>
      <c r="G12" s="108">
        <f t="shared" si="1"/>
        <v>141696.82</v>
      </c>
      <c r="H12" s="105">
        <v>557000</v>
      </c>
      <c r="I12" s="106">
        <v>0</v>
      </c>
      <c r="J12" s="107">
        <f t="shared" si="2"/>
        <v>557000</v>
      </c>
      <c r="K12" s="119">
        <f t="shared" si="3"/>
        <v>0.25439285457809696</v>
      </c>
      <c r="L12" s="103" t="s">
        <v>35</v>
      </c>
      <c r="M12" s="104">
        <f t="shared" si="4"/>
        <v>0.25439285457809696</v>
      </c>
    </row>
    <row r="13" spans="1:13" ht="12.75" customHeight="1">
      <c r="A13" s="1" t="s">
        <v>18</v>
      </c>
      <c r="B13" s="261"/>
      <c r="C13" s="207"/>
      <c r="D13" s="158"/>
      <c r="E13" s="208"/>
      <c r="F13" s="122"/>
      <c r="G13" s="210"/>
      <c r="H13" s="106"/>
      <c r="I13" s="106"/>
      <c r="J13" s="107"/>
      <c r="K13" s="99"/>
      <c r="L13" s="101"/>
      <c r="M13" s="102"/>
    </row>
    <row r="14" spans="1:13" ht="12.75" customHeight="1">
      <c r="A14" s="1" t="s">
        <v>196</v>
      </c>
      <c r="B14" s="261">
        <f>17.66+66.74+39</f>
        <v>123.39999999999999</v>
      </c>
      <c r="C14" s="244">
        <v>0</v>
      </c>
      <c r="D14" s="158">
        <f aca="true" t="shared" si="5" ref="D14:D20">+B14+C14</f>
        <v>123.39999999999999</v>
      </c>
      <c r="E14" s="208">
        <f>+B14+190.13+106018.96</f>
        <v>106332.49</v>
      </c>
      <c r="F14" s="122">
        <v>0</v>
      </c>
      <c r="G14" s="211">
        <f aca="true" t="shared" si="6" ref="G14:G20">+E14+F14</f>
        <v>106332.49</v>
      </c>
      <c r="H14" s="106">
        <v>95000</v>
      </c>
      <c r="I14" s="106">
        <v>0</v>
      </c>
      <c r="J14" s="107">
        <f aca="true" t="shared" si="7" ref="J14:J19">+H14+I14</f>
        <v>95000</v>
      </c>
      <c r="K14" s="119">
        <f>+E14/H14</f>
        <v>1.1192893684210528</v>
      </c>
      <c r="L14" s="120" t="s">
        <v>35</v>
      </c>
      <c r="M14" s="104">
        <f>+G14/J14</f>
        <v>1.1192893684210528</v>
      </c>
    </row>
    <row r="15" spans="1:13" ht="12.75" customHeight="1">
      <c r="A15" s="1" t="s">
        <v>182</v>
      </c>
      <c r="B15" s="261">
        <v>0</v>
      </c>
      <c r="C15" s="207">
        <v>0</v>
      </c>
      <c r="D15" s="158">
        <f t="shared" si="5"/>
        <v>0</v>
      </c>
      <c r="E15" s="208">
        <f>+B15</f>
        <v>0</v>
      </c>
      <c r="F15" s="122">
        <v>0</v>
      </c>
      <c r="G15" s="211">
        <f t="shared" si="6"/>
        <v>0</v>
      </c>
      <c r="H15" s="106">
        <v>0</v>
      </c>
      <c r="I15" s="106">
        <v>0</v>
      </c>
      <c r="J15" s="107">
        <f t="shared" si="7"/>
        <v>0</v>
      </c>
      <c r="K15" s="119" t="s">
        <v>35</v>
      </c>
      <c r="L15" s="120" t="s">
        <v>35</v>
      </c>
      <c r="M15" s="121" t="s">
        <v>35</v>
      </c>
    </row>
    <row r="16" spans="1:13" ht="12.75" customHeight="1">
      <c r="A16" s="1" t="s">
        <v>19</v>
      </c>
      <c r="B16" s="262">
        <f>+B14+B15</f>
        <v>123.39999999999999</v>
      </c>
      <c r="C16" s="263">
        <v>0</v>
      </c>
      <c r="D16" s="160">
        <f t="shared" si="5"/>
        <v>123.39999999999999</v>
      </c>
      <c r="E16" s="209">
        <f>+E14+E15</f>
        <v>106332.49</v>
      </c>
      <c r="F16" s="109">
        <v>0</v>
      </c>
      <c r="G16" s="212">
        <f t="shared" si="6"/>
        <v>106332.49</v>
      </c>
      <c r="H16" s="112">
        <f>+H14+H15</f>
        <v>95000</v>
      </c>
      <c r="I16" s="112">
        <v>0</v>
      </c>
      <c r="J16" s="110">
        <f t="shared" si="7"/>
        <v>95000</v>
      </c>
      <c r="K16" s="150">
        <f>+E16/H16</f>
        <v>1.1192893684210528</v>
      </c>
      <c r="L16" s="116" t="s">
        <v>35</v>
      </c>
      <c r="M16" s="117">
        <f>+G16/J16</f>
        <v>1.1192893684210528</v>
      </c>
    </row>
    <row r="17" spans="1:13" ht="12.75" customHeight="1">
      <c r="A17" s="1" t="s">
        <v>148</v>
      </c>
      <c r="B17" s="261">
        <v>444.05</v>
      </c>
      <c r="C17" s="207">
        <v>0</v>
      </c>
      <c r="D17" s="158">
        <f t="shared" si="5"/>
        <v>444.05</v>
      </c>
      <c r="E17" s="208">
        <f>+B17+463.3+422.01+662.73+503.04+574.99+41430.32+556.82</f>
        <v>45057.26</v>
      </c>
      <c r="F17" s="122">
        <v>0</v>
      </c>
      <c r="G17" s="211">
        <f t="shared" si="6"/>
        <v>45057.26</v>
      </c>
      <c r="H17" s="106">
        <v>58000</v>
      </c>
      <c r="I17" s="106">
        <v>0</v>
      </c>
      <c r="J17" s="107">
        <f t="shared" si="7"/>
        <v>58000</v>
      </c>
      <c r="K17" s="119">
        <f>+E17/H17</f>
        <v>0.7768493103448276</v>
      </c>
      <c r="L17" s="120" t="s">
        <v>35</v>
      </c>
      <c r="M17" s="104">
        <f>+G17/J17</f>
        <v>0.7768493103448276</v>
      </c>
    </row>
    <row r="18" spans="1:13" ht="12.75" customHeight="1">
      <c r="A18" s="1" t="s">
        <v>149</v>
      </c>
      <c r="B18" s="261">
        <v>4916.39</v>
      </c>
      <c r="C18" s="207">
        <v>0</v>
      </c>
      <c r="D18" s="158">
        <f t="shared" si="5"/>
        <v>4916.39</v>
      </c>
      <c r="E18" s="208">
        <f>+B18+4621.91+5773.88+5252.99+4526.88+6116.93+5818.39+3866.24</f>
        <v>40893.61</v>
      </c>
      <c r="F18" s="122">
        <v>0</v>
      </c>
      <c r="G18" s="211">
        <f t="shared" si="6"/>
        <v>40893.61</v>
      </c>
      <c r="H18" s="106">
        <v>50000</v>
      </c>
      <c r="I18" s="106">
        <v>0</v>
      </c>
      <c r="J18" s="107">
        <f t="shared" si="7"/>
        <v>50000</v>
      </c>
      <c r="K18" s="119">
        <f>+E18/H18</f>
        <v>0.8178722</v>
      </c>
      <c r="L18" s="120" t="s">
        <v>35</v>
      </c>
      <c r="M18" s="104">
        <f>+G18/J18</f>
        <v>0.8178722</v>
      </c>
    </row>
    <row r="19" spans="1:13" ht="12.75" customHeight="1">
      <c r="A19" s="1" t="s">
        <v>150</v>
      </c>
      <c r="B19" s="261">
        <f>67.48+250+434+1632+547.31+67623.01+4359.9+13644.65+464.91+1.26+524.08+(174.08+870.4+848.64+435.2+435.2)+10919.63-2763.49</f>
        <v>100468.25999999998</v>
      </c>
      <c r="C19" s="264">
        <v>0</v>
      </c>
      <c r="D19" s="158">
        <f t="shared" si="5"/>
        <v>100468.25999999998</v>
      </c>
      <c r="E19" s="208">
        <f>+B19+17854.07+29682.43+28902.42+52681.21+19668.61+98009.78+40429.09</f>
        <v>387695.87</v>
      </c>
      <c r="F19" s="122">
        <v>0</v>
      </c>
      <c r="G19" s="211">
        <f t="shared" si="6"/>
        <v>387695.87</v>
      </c>
      <c r="H19" s="106">
        <v>1063300</v>
      </c>
      <c r="I19" s="106"/>
      <c r="J19" s="107">
        <f t="shared" si="7"/>
        <v>1063300</v>
      </c>
      <c r="K19" s="119">
        <f>+E19/H19</f>
        <v>0.36461569641681557</v>
      </c>
      <c r="L19" s="120" t="s">
        <v>35</v>
      </c>
      <c r="M19" s="104">
        <f>+G19/J19</f>
        <v>0.36461569641681557</v>
      </c>
    </row>
    <row r="20" spans="1:13" ht="12.75" customHeight="1">
      <c r="A20" s="1" t="s">
        <v>151</v>
      </c>
      <c r="B20" s="261"/>
      <c r="C20" s="208">
        <f>+(3385.69+209.44+116.35+2091.24+8196.46+3917.06+26186.58+13644.65)*0.56</f>
        <v>32338.583200000005</v>
      </c>
      <c r="D20" s="158">
        <f t="shared" si="5"/>
        <v>32338.583200000005</v>
      </c>
      <c r="E20" s="208">
        <v>0</v>
      </c>
      <c r="F20" s="151">
        <f>+C20+29211.12+40452.01+33213.5+32289.76+48846.4+31722.87+33755.4</f>
        <v>281829.6432</v>
      </c>
      <c r="G20" s="211">
        <f t="shared" si="6"/>
        <v>281829.6432</v>
      </c>
      <c r="H20" s="122" t="s">
        <v>35</v>
      </c>
      <c r="I20" s="122" t="s">
        <v>35</v>
      </c>
      <c r="J20" s="107" t="str">
        <f>+I20</f>
        <v>n/a</v>
      </c>
      <c r="K20" s="119" t="s">
        <v>35</v>
      </c>
      <c r="L20" s="120" t="s">
        <v>35</v>
      </c>
      <c r="M20" s="121" t="s">
        <v>35</v>
      </c>
    </row>
    <row r="21" spans="1:13" ht="12.75" customHeight="1">
      <c r="A21" s="1" t="s">
        <v>26</v>
      </c>
      <c r="B21" s="261"/>
      <c r="C21" s="207"/>
      <c r="D21" s="158"/>
      <c r="E21" s="208"/>
      <c r="F21" s="122"/>
      <c r="G21" s="211"/>
      <c r="H21" s="106"/>
      <c r="I21" s="106"/>
      <c r="J21" s="107"/>
      <c r="K21" s="99"/>
      <c r="L21" s="101"/>
      <c r="M21" s="102"/>
    </row>
    <row r="22" spans="1:13" ht="12.75" customHeight="1">
      <c r="A22" s="1" t="s">
        <v>27</v>
      </c>
      <c r="B22" s="261"/>
      <c r="C22" s="207"/>
      <c r="D22" s="158"/>
      <c r="E22" s="208"/>
      <c r="F22" s="122"/>
      <c r="G22" s="211"/>
      <c r="H22" s="106"/>
      <c r="I22" s="106"/>
      <c r="J22" s="107">
        <f>+H22+I22</f>
        <v>0</v>
      </c>
      <c r="K22" s="119" t="s">
        <v>35</v>
      </c>
      <c r="L22" s="120" t="s">
        <v>35</v>
      </c>
      <c r="M22" s="104" t="s">
        <v>35</v>
      </c>
    </row>
    <row r="23" spans="1:13" ht="12.75" customHeight="1">
      <c r="A23" s="1" t="s">
        <v>28</v>
      </c>
      <c r="B23" s="261"/>
      <c r="C23" s="207"/>
      <c r="D23" s="158"/>
      <c r="E23" s="208"/>
      <c r="F23" s="122"/>
      <c r="G23" s="211"/>
      <c r="H23" s="106"/>
      <c r="I23" s="106"/>
      <c r="J23" s="107">
        <f>+H23+I23</f>
        <v>0</v>
      </c>
      <c r="K23" s="119" t="s">
        <v>35</v>
      </c>
      <c r="L23" s="120" t="s">
        <v>35</v>
      </c>
      <c r="M23" s="104" t="s">
        <v>35</v>
      </c>
    </row>
    <row r="24" spans="1:13" ht="12.75" customHeight="1">
      <c r="A24" s="1" t="s">
        <v>152</v>
      </c>
      <c r="B24" s="261"/>
      <c r="C24" s="207"/>
      <c r="D24" s="158"/>
      <c r="E24" s="208"/>
      <c r="F24" s="122"/>
      <c r="G24" s="211"/>
      <c r="H24" s="106"/>
      <c r="I24" s="106"/>
      <c r="J24" s="107">
        <f>+H24+I24</f>
        <v>0</v>
      </c>
      <c r="K24" s="119" t="s">
        <v>35</v>
      </c>
      <c r="L24" s="120" t="s">
        <v>35</v>
      </c>
      <c r="M24" s="104" t="s">
        <v>35</v>
      </c>
    </row>
    <row r="25" spans="1:13" ht="12.75" customHeight="1">
      <c r="A25" s="1" t="s">
        <v>153</v>
      </c>
      <c r="B25" s="261">
        <v>0</v>
      </c>
      <c r="C25" s="207">
        <v>0</v>
      </c>
      <c r="D25" s="158">
        <f>+B25+C25</f>
        <v>0</v>
      </c>
      <c r="E25" s="208">
        <f>+B25+15120.77+41081.41+4023.6</f>
        <v>60225.780000000006</v>
      </c>
      <c r="F25" s="122">
        <v>0</v>
      </c>
      <c r="G25" s="211">
        <f>+E25+F25</f>
        <v>60225.780000000006</v>
      </c>
      <c r="H25" s="106">
        <v>82700</v>
      </c>
      <c r="I25" s="106">
        <v>0</v>
      </c>
      <c r="J25" s="107">
        <f>+H25+I25</f>
        <v>82700</v>
      </c>
      <c r="K25" s="119">
        <f>+E25/H25</f>
        <v>0.7282440145102782</v>
      </c>
      <c r="L25" s="120" t="s">
        <v>35</v>
      </c>
      <c r="M25" s="104">
        <f>+G25/J25</f>
        <v>0.7282440145102782</v>
      </c>
    </row>
    <row r="26" spans="1:13" ht="12.75" customHeight="1">
      <c r="A26" s="1" t="s">
        <v>30</v>
      </c>
      <c r="B26" s="265">
        <f>SUM(B22:B25)</f>
        <v>0</v>
      </c>
      <c r="C26" s="245">
        <v>0</v>
      </c>
      <c r="D26" s="160">
        <f>+B26+C26</f>
        <v>0</v>
      </c>
      <c r="E26" s="213">
        <f>SUM(E22:E25)</f>
        <v>60225.780000000006</v>
      </c>
      <c r="F26" s="109">
        <v>0</v>
      </c>
      <c r="G26" s="212">
        <f>+E26+F26</f>
        <v>60225.780000000006</v>
      </c>
      <c r="H26" s="213">
        <f>SUM(H22:H25)</f>
        <v>82700</v>
      </c>
      <c r="I26" s="112">
        <v>0</v>
      </c>
      <c r="J26" s="123">
        <f>+H26+I26</f>
        <v>82700</v>
      </c>
      <c r="K26" s="115">
        <f>+E26/H26</f>
        <v>0.7282440145102782</v>
      </c>
      <c r="L26" s="116" t="s">
        <v>35</v>
      </c>
      <c r="M26" s="117">
        <f>+G26/J26</f>
        <v>0.7282440145102782</v>
      </c>
    </row>
    <row r="27" spans="1:13" ht="12.75" customHeight="1">
      <c r="A27" s="2"/>
      <c r="B27" s="266"/>
      <c r="C27" s="207"/>
      <c r="D27" s="158"/>
      <c r="E27" s="214"/>
      <c r="F27" s="122"/>
      <c r="G27" s="211"/>
      <c r="H27" s="106"/>
      <c r="I27" s="106"/>
      <c r="J27" s="107"/>
      <c r="K27" s="99"/>
      <c r="L27" s="101"/>
      <c r="M27" s="102"/>
    </row>
    <row r="28" spans="1:13" ht="12.75" customHeight="1">
      <c r="A28" s="1" t="s">
        <v>154</v>
      </c>
      <c r="B28" s="265">
        <f>B10+B11+B12+B16+B17+B18+B19+B20+B26</f>
        <v>270100.19</v>
      </c>
      <c r="C28" s="213">
        <f>+C20</f>
        <v>32338.583200000005</v>
      </c>
      <c r="D28" s="160">
        <f>D10+D11+D12+D16+D17+D18+D19+D20+D26</f>
        <v>302438.7732</v>
      </c>
      <c r="E28" s="213">
        <f>E10+E11+E12+E16+E17+E18+E19+E20+E26</f>
        <v>2080989.34</v>
      </c>
      <c r="F28" s="215">
        <f>+F20</f>
        <v>281829.6432</v>
      </c>
      <c r="G28" s="212">
        <f>G10+G11+G12+G16+G17+G18+G19+G20+G26</f>
        <v>2362818.9831999997</v>
      </c>
      <c r="H28" s="112">
        <f>+H10+H11+H12+H16+H17+H18+H19+H25</f>
        <v>4199000</v>
      </c>
      <c r="I28" s="112" t="str">
        <f>+I20</f>
        <v>n/a</v>
      </c>
      <c r="J28" s="112">
        <f>+J10+J11+J12+J16+J17+J18+J19+J25</f>
        <v>4199000</v>
      </c>
      <c r="K28" s="115">
        <f>+E28/H28</f>
        <v>0.4955916503929507</v>
      </c>
      <c r="L28" s="116" t="s">
        <v>35</v>
      </c>
      <c r="M28" s="117">
        <f>+G28/J28</f>
        <v>0.5627099269349845</v>
      </c>
    </row>
    <row r="29" spans="1:13" ht="12.75" customHeight="1">
      <c r="A29" s="2"/>
      <c r="B29" s="167"/>
      <c r="C29" s="207"/>
      <c r="D29" s="158"/>
      <c r="E29" s="216"/>
      <c r="F29" s="122"/>
      <c r="G29" s="211"/>
      <c r="H29" s="217"/>
      <c r="I29" s="122"/>
      <c r="J29" s="107"/>
      <c r="K29" s="99"/>
      <c r="L29" s="101"/>
      <c r="M29" s="102"/>
    </row>
    <row r="30" spans="1:13" ht="12.75" customHeight="1">
      <c r="A30" s="118" t="s">
        <v>197</v>
      </c>
      <c r="B30" s="261">
        <v>27713070.19</v>
      </c>
      <c r="C30" s="244">
        <v>0</v>
      </c>
      <c r="D30" s="158">
        <f>+B30+C30</f>
        <v>27713070.19</v>
      </c>
      <c r="E30" s="214">
        <f>+B30+15991986.34+13019004.65+16925668.18+13166016.37+13774267.72+11063041+173739.73</f>
        <v>111826794.18</v>
      </c>
      <c r="F30" s="122">
        <v>0</v>
      </c>
      <c r="G30" s="211">
        <f>+E30+F30</f>
        <v>111826794.18</v>
      </c>
      <c r="H30" s="217">
        <v>168100000</v>
      </c>
      <c r="I30" s="108">
        <v>0</v>
      </c>
      <c r="J30" s="107">
        <f>+H30+I30</f>
        <v>168100000</v>
      </c>
      <c r="K30" s="119">
        <f>+E30/H30</f>
        <v>0.6652397036287925</v>
      </c>
      <c r="L30" s="120" t="s">
        <v>35</v>
      </c>
      <c r="M30" s="104">
        <f>+G30/J30</f>
        <v>0.6652397036287925</v>
      </c>
    </row>
    <row r="31" spans="1:13" ht="25.5" customHeight="1">
      <c r="A31" s="218" t="s">
        <v>155</v>
      </c>
      <c r="B31" s="266"/>
      <c r="C31" s="207"/>
      <c r="D31" s="161"/>
      <c r="E31" s="214"/>
      <c r="F31" s="122"/>
      <c r="G31" s="211"/>
      <c r="H31" s="217"/>
      <c r="I31" s="108"/>
      <c r="J31" s="107"/>
      <c r="K31" s="99"/>
      <c r="L31" s="101"/>
      <c r="M31" s="102"/>
    </row>
    <row r="32" spans="1:13" ht="12.75" customHeight="1">
      <c r="A32" s="2"/>
      <c r="B32" s="266"/>
      <c r="C32" s="207"/>
      <c r="D32" s="161"/>
      <c r="E32" s="214"/>
      <c r="F32" s="122"/>
      <c r="G32" s="211"/>
      <c r="H32" s="217"/>
      <c r="I32" s="108"/>
      <c r="J32" s="107"/>
      <c r="K32" s="99"/>
      <c r="L32" s="101"/>
      <c r="M32" s="102"/>
    </row>
    <row r="33" spans="1:13" ht="25.5" customHeight="1" thickBot="1">
      <c r="A33" s="219" t="s">
        <v>156</v>
      </c>
      <c r="B33" s="267">
        <f aca="true" t="shared" si="8" ref="B33:H33">+B28+B30</f>
        <v>27983170.380000003</v>
      </c>
      <c r="C33" s="124">
        <f>+C28</f>
        <v>32338.583200000005</v>
      </c>
      <c r="D33" s="221">
        <f t="shared" si="8"/>
        <v>28015508.963200003</v>
      </c>
      <c r="E33" s="220">
        <f t="shared" si="8"/>
        <v>113907783.52000001</v>
      </c>
      <c r="F33" s="124">
        <f>+F28</f>
        <v>281829.6432</v>
      </c>
      <c r="G33" s="125">
        <f t="shared" si="8"/>
        <v>114189613.1632</v>
      </c>
      <c r="H33" s="126">
        <f t="shared" si="8"/>
        <v>172299000</v>
      </c>
      <c r="I33" s="124" t="str">
        <f>+I28</f>
        <v>n/a</v>
      </c>
      <c r="J33" s="125">
        <f>+J28+J30</f>
        <v>172299000</v>
      </c>
      <c r="K33" s="127">
        <f>+E33/H33</f>
        <v>0.6611053083302864</v>
      </c>
      <c r="L33" s="128" t="s">
        <v>35</v>
      </c>
      <c r="M33" s="129">
        <f>+G33/J33</f>
        <v>0.662741009310559</v>
      </c>
    </row>
    <row r="34" ht="12.75">
      <c r="G34" s="132"/>
    </row>
    <row r="35" spans="1:13" ht="12.75">
      <c r="A35" s="163"/>
      <c r="B35" s="168"/>
      <c r="C35" s="168"/>
      <c r="D35" s="162"/>
      <c r="E35" s="168"/>
      <c r="F35" s="17"/>
      <c r="G35" s="223"/>
      <c r="H35" s="17"/>
      <c r="I35" s="17"/>
      <c r="J35" s="168"/>
      <c r="K35" s="17"/>
      <c r="L35" s="17"/>
      <c r="M35" s="17"/>
    </row>
    <row r="36" spans="1:13" ht="12.75">
      <c r="A36" s="43" t="s">
        <v>157</v>
      </c>
      <c r="B36" s="168"/>
      <c r="C36" s="168"/>
      <c r="D36" s="162"/>
      <c r="E36" s="168"/>
      <c r="F36" s="17"/>
      <c r="G36" s="145"/>
      <c r="H36" s="130"/>
      <c r="I36" s="17"/>
      <c r="J36" s="17"/>
      <c r="K36" s="17"/>
      <c r="L36" s="17"/>
      <c r="M36" s="17"/>
    </row>
    <row r="37" ht="12.75">
      <c r="A37" t="s">
        <v>158</v>
      </c>
    </row>
    <row r="38" spans="1:8" ht="12.75" customHeight="1">
      <c r="A38" t="s">
        <v>159</v>
      </c>
      <c r="H38" s="132"/>
    </row>
    <row r="39" ht="12.75" customHeight="1">
      <c r="A39" t="s">
        <v>160</v>
      </c>
    </row>
    <row r="40" spans="1:13" ht="40.5" customHeight="1">
      <c r="A40" s="272" t="s">
        <v>185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</row>
    <row r="41" spans="1:13" s="43" customFormat="1" ht="12.75">
      <c r="A41" s="277" t="s">
        <v>212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</row>
    <row r="42" spans="1:13" ht="27.7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</row>
    <row r="43" spans="1:2" ht="12.75">
      <c r="A43" s="191"/>
      <c r="B43" s="240"/>
    </row>
    <row r="44" spans="1:9" ht="12.75">
      <c r="A44" s="253"/>
      <c r="B44" s="240"/>
      <c r="H44" s="53"/>
      <c r="I44" s="92"/>
    </row>
    <row r="45" spans="1:2" ht="12.75">
      <c r="A45" s="254"/>
      <c r="B45" s="240"/>
    </row>
    <row r="46" spans="1:7" ht="12.75">
      <c r="A46" s="254"/>
      <c r="B46" s="240"/>
      <c r="G46" s="53"/>
    </row>
    <row r="47" spans="1:8" ht="12.75">
      <c r="A47" s="255"/>
      <c r="B47" s="240"/>
      <c r="G47" s="53"/>
      <c r="H47" s="240"/>
    </row>
    <row r="48" spans="1:8" ht="12.75">
      <c r="A48" s="255"/>
      <c r="B48" s="240"/>
      <c r="H48" s="53"/>
    </row>
    <row r="49" ht="12.75">
      <c r="A49" s="255"/>
    </row>
    <row r="50" ht="12.75">
      <c r="A50" s="255"/>
    </row>
    <row r="51" spans="1:3" ht="12.75">
      <c r="A51" s="53"/>
      <c r="B51" s="53"/>
      <c r="C51" s="257"/>
    </row>
    <row r="52" ht="12.75">
      <c r="C52" s="258"/>
    </row>
    <row r="53" ht="12.75">
      <c r="A53" s="132"/>
    </row>
  </sheetData>
  <mergeCells count="8">
    <mergeCell ref="A1:M1"/>
    <mergeCell ref="A42:M42"/>
    <mergeCell ref="A40:M40"/>
    <mergeCell ref="B3:C3"/>
    <mergeCell ref="E3:F3"/>
    <mergeCell ref="H3:I3"/>
    <mergeCell ref="K3:L3"/>
    <mergeCell ref="A41:M41"/>
  </mergeCells>
  <printOptions horizontalCentered="1"/>
  <pageMargins left="0.57" right="0.51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pane ySplit="5" topLeftCell="BM6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9.421875" style="0" customWidth="1"/>
    <col min="2" max="2" width="12.7109375" style="0" customWidth="1"/>
    <col min="3" max="3" width="11.8515625" style="0" customWidth="1"/>
    <col min="4" max="4" width="13.8515625" style="0" customWidth="1"/>
    <col min="5" max="5" width="9.8515625" style="0" customWidth="1"/>
    <col min="6" max="6" width="16.28125" style="0" customWidth="1"/>
    <col min="7" max="7" width="12.28125" style="0" customWidth="1"/>
    <col min="8" max="8" width="10.421875" style="0" customWidth="1"/>
    <col min="9" max="9" width="9.57421875" style="0" customWidth="1"/>
    <col min="10" max="10" width="16.421875" style="0" customWidth="1"/>
    <col min="11" max="11" width="13.8515625" style="0" customWidth="1"/>
  </cols>
  <sheetData>
    <row r="1" spans="1:11" ht="15" customHeight="1">
      <c r="A1" s="279" t="s">
        <v>170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</row>
    <row r="2" spans="1:11" ht="15" customHeight="1">
      <c r="A2" s="282" t="s">
        <v>186</v>
      </c>
      <c r="B2" s="283"/>
      <c r="C2" s="283"/>
      <c r="D2" s="283"/>
      <c r="E2" s="283"/>
      <c r="F2" s="283"/>
      <c r="G2" s="283"/>
      <c r="H2" s="283"/>
      <c r="I2" s="283"/>
      <c r="J2" s="283"/>
      <c r="K2" s="284"/>
    </row>
    <row r="3" spans="1:11" ht="15" customHeight="1">
      <c r="A3" s="285" t="s">
        <v>208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12.75">
      <c r="A4" s="83"/>
      <c r="B4" s="84" t="s">
        <v>100</v>
      </c>
      <c r="C4" s="84" t="s">
        <v>101</v>
      </c>
      <c r="D4" s="84" t="s">
        <v>102</v>
      </c>
      <c r="E4" s="84" t="s">
        <v>103</v>
      </c>
      <c r="F4" s="84" t="s">
        <v>104</v>
      </c>
      <c r="G4" s="84" t="s">
        <v>105</v>
      </c>
      <c r="H4" s="84" t="s">
        <v>106</v>
      </c>
      <c r="I4" s="84" t="s">
        <v>107</v>
      </c>
      <c r="J4" s="84" t="s">
        <v>108</v>
      </c>
      <c r="K4" s="84" t="s">
        <v>109</v>
      </c>
    </row>
    <row r="5" spans="1:11" s="142" customFormat="1" ht="78" customHeight="1">
      <c r="A5" s="140"/>
      <c r="B5" s="141" t="s">
        <v>189</v>
      </c>
      <c r="C5" s="141" t="s">
        <v>128</v>
      </c>
      <c r="D5" s="141" t="s">
        <v>129</v>
      </c>
      <c r="E5" s="141" t="s">
        <v>171</v>
      </c>
      <c r="F5" s="141" t="s">
        <v>190</v>
      </c>
      <c r="G5" s="141" t="s">
        <v>172</v>
      </c>
      <c r="H5" s="141" t="s">
        <v>130</v>
      </c>
      <c r="I5" s="141" t="s">
        <v>173</v>
      </c>
      <c r="J5" s="141" t="s">
        <v>180</v>
      </c>
      <c r="K5" s="141" t="s">
        <v>174</v>
      </c>
    </row>
    <row r="6" spans="1:12" ht="15" customHeight="1">
      <c r="A6" s="85" t="s">
        <v>88</v>
      </c>
      <c r="B6" s="86">
        <v>3254</v>
      </c>
      <c r="C6" s="86">
        <v>90</v>
      </c>
      <c r="D6" s="86">
        <f aca="true" t="shared" si="0" ref="D6:D13">+E6-C6-B6</f>
        <v>25831</v>
      </c>
      <c r="E6" s="224">
        <v>29175</v>
      </c>
      <c r="F6" s="86">
        <v>25222</v>
      </c>
      <c r="G6" s="143">
        <f aca="true" t="shared" si="1" ref="G6:G16">+E6+F6</f>
        <v>54397</v>
      </c>
      <c r="H6" s="138">
        <v>910</v>
      </c>
      <c r="I6" s="143">
        <f aca="true" t="shared" si="2" ref="I6:I13">+G6-H6</f>
        <v>53487</v>
      </c>
      <c r="J6" s="86">
        <f aca="true" t="shared" si="3" ref="J6:J13">+I6-F6</f>
        <v>28265</v>
      </c>
      <c r="K6" s="86">
        <v>1000753</v>
      </c>
      <c r="L6" s="131"/>
    </row>
    <row r="7" spans="1:11" ht="15" customHeight="1">
      <c r="A7" s="85" t="s">
        <v>89</v>
      </c>
      <c r="B7" s="86">
        <f>3652+356</f>
        <v>4008</v>
      </c>
      <c r="C7" s="86">
        <v>35</v>
      </c>
      <c r="D7" s="86">
        <f t="shared" si="0"/>
        <v>17968</v>
      </c>
      <c r="E7" s="86">
        <v>22011</v>
      </c>
      <c r="F7" s="86">
        <v>19746</v>
      </c>
      <c r="G7" s="143">
        <f t="shared" si="1"/>
        <v>41757</v>
      </c>
      <c r="H7" s="86">
        <v>6448</v>
      </c>
      <c r="I7" s="143">
        <f t="shared" si="2"/>
        <v>35309</v>
      </c>
      <c r="J7" s="86">
        <f t="shared" si="3"/>
        <v>15563</v>
      </c>
      <c r="K7" s="86">
        <v>1016316</v>
      </c>
    </row>
    <row r="8" spans="1:11" ht="15" customHeight="1">
      <c r="A8" s="85" t="s">
        <v>90</v>
      </c>
      <c r="B8" s="86">
        <v>4754</v>
      </c>
      <c r="C8" s="86">
        <v>288</v>
      </c>
      <c r="D8" s="86">
        <f t="shared" si="0"/>
        <v>21436</v>
      </c>
      <c r="E8" s="143">
        <v>26478</v>
      </c>
      <c r="F8" s="86">
        <v>29839</v>
      </c>
      <c r="G8" s="143">
        <f t="shared" si="1"/>
        <v>56317</v>
      </c>
      <c r="H8" s="86">
        <v>12896</v>
      </c>
      <c r="I8" s="143">
        <f t="shared" si="2"/>
        <v>43421</v>
      </c>
      <c r="J8" s="86">
        <f t="shared" si="3"/>
        <v>13582</v>
      </c>
      <c r="K8" s="86">
        <v>1029898</v>
      </c>
    </row>
    <row r="9" spans="1:11" ht="15" customHeight="1">
      <c r="A9" s="85" t="s">
        <v>131</v>
      </c>
      <c r="B9" s="138">
        <v>3169</v>
      </c>
      <c r="C9" s="138">
        <v>118</v>
      </c>
      <c r="D9" s="86">
        <f t="shared" si="0"/>
        <v>10605</v>
      </c>
      <c r="E9" s="224">
        <v>13892</v>
      </c>
      <c r="F9" s="138">
        <v>11056</v>
      </c>
      <c r="G9" s="143">
        <f t="shared" si="1"/>
        <v>24948</v>
      </c>
      <c r="H9" s="138">
        <v>15457</v>
      </c>
      <c r="I9" s="143">
        <f t="shared" si="2"/>
        <v>9491</v>
      </c>
      <c r="J9" s="86">
        <f t="shared" si="3"/>
        <v>-1565</v>
      </c>
      <c r="K9" s="138">
        <v>1028333</v>
      </c>
    </row>
    <row r="10" spans="1:11" ht="15" customHeight="1">
      <c r="A10" s="85" t="s">
        <v>92</v>
      </c>
      <c r="B10" s="86">
        <v>5697</v>
      </c>
      <c r="C10" s="86">
        <v>193</v>
      </c>
      <c r="D10" s="86">
        <f t="shared" si="0"/>
        <v>17478</v>
      </c>
      <c r="E10" s="143">
        <v>23368</v>
      </c>
      <c r="F10" s="86">
        <v>14256</v>
      </c>
      <c r="G10" s="143">
        <f t="shared" si="1"/>
        <v>37624</v>
      </c>
      <c r="H10" s="86">
        <v>11981</v>
      </c>
      <c r="I10" s="86">
        <f t="shared" si="2"/>
        <v>25643</v>
      </c>
      <c r="J10" s="86">
        <f t="shared" si="3"/>
        <v>11387</v>
      </c>
      <c r="K10" s="86">
        <v>1039720</v>
      </c>
    </row>
    <row r="11" spans="1:11" ht="15" customHeight="1">
      <c r="A11" s="85" t="s">
        <v>93</v>
      </c>
      <c r="B11" s="86">
        <v>1772</v>
      </c>
      <c r="C11" s="86">
        <v>179</v>
      </c>
      <c r="D11" s="138">
        <f t="shared" si="0"/>
        <v>26165</v>
      </c>
      <c r="E11" s="143">
        <v>28116</v>
      </c>
      <c r="F11" s="86">
        <v>20754</v>
      </c>
      <c r="G11" s="143">
        <f t="shared" si="1"/>
        <v>48870</v>
      </c>
      <c r="H11" s="86">
        <v>23470</v>
      </c>
      <c r="I11" s="86">
        <f t="shared" si="2"/>
        <v>25400</v>
      </c>
      <c r="J11" s="86">
        <f t="shared" si="3"/>
        <v>4646</v>
      </c>
      <c r="K11" s="86">
        <v>1044366</v>
      </c>
    </row>
    <row r="12" spans="1:11" ht="15" customHeight="1">
      <c r="A12" s="85" t="s">
        <v>132</v>
      </c>
      <c r="B12" s="86">
        <v>1963</v>
      </c>
      <c r="C12" s="86">
        <v>49</v>
      </c>
      <c r="D12" s="138">
        <f t="shared" si="0"/>
        <v>22388</v>
      </c>
      <c r="E12" s="143">
        <v>24400</v>
      </c>
      <c r="F12" s="86">
        <v>24075</v>
      </c>
      <c r="G12" s="143">
        <f t="shared" si="1"/>
        <v>48475</v>
      </c>
      <c r="H12" s="86">
        <v>20884</v>
      </c>
      <c r="I12" s="86">
        <f t="shared" si="2"/>
        <v>27591</v>
      </c>
      <c r="J12" s="86">
        <f t="shared" si="3"/>
        <v>3516</v>
      </c>
      <c r="K12" s="86">
        <v>1047882</v>
      </c>
    </row>
    <row r="13" spans="1:11" ht="15" customHeight="1">
      <c r="A13" s="85" t="s">
        <v>133</v>
      </c>
      <c r="B13" s="86">
        <v>2302</v>
      </c>
      <c r="C13" s="86">
        <v>211</v>
      </c>
      <c r="D13" s="138">
        <f t="shared" si="0"/>
        <v>28560</v>
      </c>
      <c r="E13" s="86">
        <v>31073</v>
      </c>
      <c r="F13" s="138">
        <v>16815</v>
      </c>
      <c r="G13" s="143">
        <f t="shared" si="1"/>
        <v>47888</v>
      </c>
      <c r="H13" s="86">
        <v>25462</v>
      </c>
      <c r="I13" s="86">
        <f t="shared" si="2"/>
        <v>22426</v>
      </c>
      <c r="J13" s="86">
        <f t="shared" si="3"/>
        <v>5611</v>
      </c>
      <c r="K13" s="86">
        <v>1053493</v>
      </c>
    </row>
    <row r="14" spans="1:11" ht="15" customHeight="1">
      <c r="A14" s="85" t="s">
        <v>96</v>
      </c>
      <c r="B14" s="86"/>
      <c r="C14" s="86"/>
      <c r="D14" s="138"/>
      <c r="E14" s="224"/>
      <c r="F14" s="86"/>
      <c r="G14" s="143">
        <f t="shared" si="1"/>
        <v>0</v>
      </c>
      <c r="H14" s="138"/>
      <c r="I14" s="86"/>
      <c r="J14" s="86"/>
      <c r="K14" s="86"/>
    </row>
    <row r="15" spans="1:11" ht="15" customHeight="1">
      <c r="A15" s="85" t="s">
        <v>134</v>
      </c>
      <c r="B15" s="86"/>
      <c r="C15" s="86"/>
      <c r="D15" s="138"/>
      <c r="E15" s="224"/>
      <c r="F15" s="86"/>
      <c r="G15" s="143">
        <f t="shared" si="1"/>
        <v>0</v>
      </c>
      <c r="H15" s="138"/>
      <c r="I15" s="86"/>
      <c r="J15" s="86"/>
      <c r="K15" s="138"/>
    </row>
    <row r="16" spans="1:11" ht="15" customHeight="1">
      <c r="A16" s="85" t="s">
        <v>98</v>
      </c>
      <c r="B16" s="86"/>
      <c r="C16" s="86"/>
      <c r="D16" s="138"/>
      <c r="E16" s="143"/>
      <c r="F16" s="86"/>
      <c r="G16" s="143">
        <f t="shared" si="1"/>
        <v>0</v>
      </c>
      <c r="H16" s="86"/>
      <c r="I16" s="86"/>
      <c r="J16" s="86"/>
      <c r="K16" s="86"/>
    </row>
    <row r="17" spans="1:11" ht="15" customHeight="1">
      <c r="A17" s="85" t="s">
        <v>99</v>
      </c>
      <c r="B17" s="86"/>
      <c r="C17" s="86"/>
      <c r="D17" s="138"/>
      <c r="E17" s="86"/>
      <c r="F17" s="86"/>
      <c r="G17" s="143">
        <f>+F17+E17</f>
        <v>0</v>
      </c>
      <c r="H17" s="86"/>
      <c r="I17" s="86"/>
      <c r="J17" s="86"/>
      <c r="K17" s="86"/>
    </row>
    <row r="18" spans="1:11" ht="15" customHeight="1">
      <c r="A18" s="85" t="s">
        <v>175</v>
      </c>
      <c r="B18" s="87">
        <f aca="true" t="shared" si="4" ref="B18:J18">SUM(B6:B17)</f>
        <v>26919</v>
      </c>
      <c r="C18" s="87">
        <f t="shared" si="4"/>
        <v>1163</v>
      </c>
      <c r="D18" s="87">
        <f t="shared" si="4"/>
        <v>170431</v>
      </c>
      <c r="E18" s="87">
        <f t="shared" si="4"/>
        <v>198513</v>
      </c>
      <c r="F18" s="87">
        <f t="shared" si="4"/>
        <v>161763</v>
      </c>
      <c r="G18" s="87">
        <f t="shared" si="4"/>
        <v>360276</v>
      </c>
      <c r="H18" s="87">
        <f t="shared" si="4"/>
        <v>117508</v>
      </c>
      <c r="I18" s="87">
        <f t="shared" si="4"/>
        <v>242768</v>
      </c>
      <c r="J18" s="87">
        <f t="shared" si="4"/>
        <v>81005</v>
      </c>
      <c r="K18" s="144"/>
    </row>
    <row r="19" s="225" customFormat="1" ht="12.75">
      <c r="F19" s="226"/>
    </row>
    <row r="20" spans="5:10" ht="12.75">
      <c r="E20" s="131"/>
      <c r="G20" s="131"/>
      <c r="H20" s="131"/>
      <c r="I20" s="131"/>
      <c r="J20" s="131"/>
    </row>
    <row r="21" spans="1:11" ht="12.75">
      <c r="A21" s="88" t="s">
        <v>135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5.75">
      <c r="A22" s="149">
        <v>1</v>
      </c>
      <c r="B22" s="278" t="s">
        <v>198</v>
      </c>
      <c r="C22" s="278"/>
      <c r="D22" s="278"/>
      <c r="E22" s="278"/>
      <c r="F22" s="278"/>
      <c r="G22" s="278"/>
      <c r="H22" s="278"/>
      <c r="I22" s="278"/>
      <c r="J22" s="278"/>
      <c r="K22" s="278"/>
    </row>
    <row r="23" spans="1:11" ht="15.75">
      <c r="A23" s="149">
        <v>2</v>
      </c>
      <c r="B23" s="278" t="s">
        <v>136</v>
      </c>
      <c r="C23" s="278"/>
      <c r="D23" s="278"/>
      <c r="E23" s="278"/>
      <c r="F23" s="278"/>
      <c r="G23" s="278"/>
      <c r="H23" s="278"/>
      <c r="I23" s="278"/>
      <c r="J23" s="278"/>
      <c r="K23" s="278"/>
    </row>
    <row r="24" ht="12.75">
      <c r="A24" s="43"/>
    </row>
    <row r="25" ht="12.75">
      <c r="A25" s="43"/>
    </row>
    <row r="26" ht="12.75">
      <c r="B26" s="43"/>
    </row>
    <row r="27" ht="12.75">
      <c r="B27" s="43"/>
    </row>
    <row r="28" ht="12.75">
      <c r="B28" s="43"/>
    </row>
    <row r="29" ht="12.75">
      <c r="B29" s="43"/>
    </row>
  </sheetData>
  <mergeCells count="5">
    <mergeCell ref="B23:K23"/>
    <mergeCell ref="A1:K1"/>
    <mergeCell ref="A2:K2"/>
    <mergeCell ref="A3:K3"/>
    <mergeCell ref="B22:K22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0" customWidth="1"/>
    <col min="2" max="2" width="13.28125" style="0" customWidth="1"/>
    <col min="3" max="3" width="11.57421875" style="0" customWidth="1"/>
    <col min="4" max="4" width="10.00390625" style="0" customWidth="1"/>
    <col min="5" max="5" width="10.8515625" style="0" customWidth="1"/>
    <col min="6" max="6" width="12.00390625" style="0" customWidth="1"/>
    <col min="7" max="7" width="8.57421875" style="0" customWidth="1"/>
    <col min="8" max="8" width="11.00390625" style="0" customWidth="1"/>
    <col min="9" max="9" width="13.140625" style="0" customWidth="1"/>
  </cols>
  <sheetData>
    <row r="1" spans="1:9" ht="36" customHeight="1" thickBot="1">
      <c r="A1" s="293" t="s">
        <v>205</v>
      </c>
      <c r="B1" s="293"/>
      <c r="C1" s="293"/>
      <c r="D1" s="293"/>
      <c r="E1" s="293"/>
      <c r="F1" s="293"/>
      <c r="G1" s="293"/>
      <c r="H1" s="293"/>
      <c r="I1" s="293"/>
    </row>
    <row r="2" spans="1:9" s="63" customFormat="1" ht="55.5" customHeight="1" thickBot="1">
      <c r="A2" s="61"/>
      <c r="B2" s="62" t="s">
        <v>115</v>
      </c>
      <c r="C2" s="47" t="s">
        <v>116</v>
      </c>
      <c r="D2" s="47" t="s">
        <v>117</v>
      </c>
      <c r="E2" s="47" t="s">
        <v>200</v>
      </c>
      <c r="F2" s="47" t="s">
        <v>119</v>
      </c>
      <c r="G2" s="47" t="s">
        <v>176</v>
      </c>
      <c r="H2" s="47" t="s">
        <v>177</v>
      </c>
      <c r="I2" s="47" t="s">
        <v>121</v>
      </c>
    </row>
    <row r="3" spans="1:9" ht="12.75">
      <c r="A3" s="64"/>
      <c r="B3" s="65"/>
      <c r="C3" s="65"/>
      <c r="D3" s="66"/>
      <c r="E3" s="65"/>
      <c r="F3" s="66"/>
      <c r="G3" s="65"/>
      <c r="H3" s="66"/>
      <c r="I3" s="65"/>
    </row>
    <row r="4" spans="1:12" ht="12.75">
      <c r="A4" s="73">
        <v>38718</v>
      </c>
      <c r="B4" s="89">
        <f aca="true" t="shared" si="0" ref="B4:C11">B46-B26</f>
        <v>1000663</v>
      </c>
      <c r="C4" s="89">
        <f t="shared" si="0"/>
        <v>652</v>
      </c>
      <c r="D4" s="68">
        <f aca="true" t="shared" si="1" ref="D4:D11">C4/B4</f>
        <v>0.0006515680104090988</v>
      </c>
      <c r="E4" s="227">
        <f aca="true" t="shared" si="2" ref="E4:F11">E46-E26</f>
        <v>1</v>
      </c>
      <c r="F4" s="228">
        <f t="shared" si="2"/>
        <v>9</v>
      </c>
      <c r="G4" s="67">
        <f aca="true" t="shared" si="3" ref="G4:G11">SUM(E4:F4)</f>
        <v>10</v>
      </c>
      <c r="H4" s="68">
        <f aca="true" t="shared" si="4" ref="H4:H11">G4/C4</f>
        <v>0.015337423312883436</v>
      </c>
      <c r="I4" s="70">
        <f aca="true" t="shared" si="5" ref="I4:I11">G4/B4</f>
        <v>9.993374392777589E-06</v>
      </c>
      <c r="K4" s="229"/>
      <c r="L4" s="229"/>
    </row>
    <row r="5" spans="1:12" ht="12.75">
      <c r="A5" s="73">
        <v>38749</v>
      </c>
      <c r="B5" s="89">
        <f t="shared" si="0"/>
        <v>1016281</v>
      </c>
      <c r="C5" s="89">
        <f t="shared" si="0"/>
        <v>616</v>
      </c>
      <c r="D5" s="68">
        <f t="shared" si="1"/>
        <v>0.0006061315718782503</v>
      </c>
      <c r="E5" s="227">
        <f t="shared" si="2"/>
        <v>0</v>
      </c>
      <c r="F5" s="228">
        <f t="shared" si="2"/>
        <v>13</v>
      </c>
      <c r="G5" s="67">
        <f t="shared" si="3"/>
        <v>13</v>
      </c>
      <c r="H5" s="68">
        <f t="shared" si="4"/>
        <v>0.021103896103896104</v>
      </c>
      <c r="I5" s="70">
        <f t="shared" si="5"/>
        <v>1.2791737718209827E-05</v>
      </c>
      <c r="K5" s="229"/>
      <c r="L5" s="229"/>
    </row>
    <row r="6" spans="1:12" ht="12.75">
      <c r="A6" s="73">
        <v>38777</v>
      </c>
      <c r="B6" s="89">
        <f t="shared" si="0"/>
        <v>1029610</v>
      </c>
      <c r="C6" s="89">
        <f t="shared" si="0"/>
        <v>737</v>
      </c>
      <c r="D6" s="68">
        <f t="shared" si="1"/>
        <v>0.0007158050135488194</v>
      </c>
      <c r="E6" s="227">
        <f t="shared" si="2"/>
        <v>1</v>
      </c>
      <c r="F6" s="228">
        <f t="shared" si="2"/>
        <v>15</v>
      </c>
      <c r="G6" s="67">
        <f t="shared" si="3"/>
        <v>16</v>
      </c>
      <c r="H6" s="68">
        <f t="shared" si="4"/>
        <v>0.021709633649932156</v>
      </c>
      <c r="I6" s="70">
        <f t="shared" si="5"/>
        <v>1.5539864608929595E-05</v>
      </c>
      <c r="K6" s="229"/>
      <c r="L6" s="229"/>
    </row>
    <row r="7" spans="1:12" ht="12.75">
      <c r="A7" s="73">
        <v>38808</v>
      </c>
      <c r="B7" s="89">
        <f t="shared" si="0"/>
        <v>1028215</v>
      </c>
      <c r="C7" s="89">
        <f t="shared" si="0"/>
        <v>673</v>
      </c>
      <c r="D7" s="68">
        <f t="shared" si="1"/>
        <v>0.000654532369202939</v>
      </c>
      <c r="E7" s="227">
        <f t="shared" si="2"/>
        <v>498</v>
      </c>
      <c r="F7" s="228">
        <f t="shared" si="2"/>
        <v>8</v>
      </c>
      <c r="G7" s="67">
        <f t="shared" si="3"/>
        <v>506</v>
      </c>
      <c r="H7" s="68">
        <f t="shared" si="4"/>
        <v>0.7518573551263001</v>
      </c>
      <c r="I7" s="70">
        <f t="shared" si="5"/>
        <v>0.0004921149759534728</v>
      </c>
      <c r="K7" s="229"/>
      <c r="L7" s="229"/>
    </row>
    <row r="8" spans="1:12" ht="12.75">
      <c r="A8" s="73">
        <v>38838</v>
      </c>
      <c r="B8" s="89">
        <f t="shared" si="0"/>
        <v>1039527</v>
      </c>
      <c r="C8" s="89">
        <f t="shared" si="0"/>
        <v>731</v>
      </c>
      <c r="D8" s="68">
        <f t="shared" si="1"/>
        <v>0.000703204438172361</v>
      </c>
      <c r="E8" s="227">
        <f t="shared" si="2"/>
        <v>600</v>
      </c>
      <c r="F8" s="228">
        <f t="shared" si="2"/>
        <v>8</v>
      </c>
      <c r="G8" s="67">
        <f t="shared" si="3"/>
        <v>608</v>
      </c>
      <c r="H8" s="68">
        <f t="shared" si="4"/>
        <v>0.8317373461012312</v>
      </c>
      <c r="I8" s="70">
        <f t="shared" si="5"/>
        <v>0.0005848813931720869</v>
      </c>
      <c r="K8" s="229"/>
      <c r="L8" s="229"/>
    </row>
    <row r="9" spans="1:12" ht="12.75">
      <c r="A9" s="73">
        <v>38869</v>
      </c>
      <c r="B9" s="89">
        <f t="shared" si="0"/>
        <v>1044187</v>
      </c>
      <c r="C9" s="89">
        <f t="shared" si="0"/>
        <v>740</v>
      </c>
      <c r="D9" s="68">
        <f t="shared" si="1"/>
        <v>0.0007086853216904635</v>
      </c>
      <c r="E9" s="227">
        <f t="shared" si="2"/>
        <v>542</v>
      </c>
      <c r="F9" s="228">
        <f t="shared" si="2"/>
        <v>15</v>
      </c>
      <c r="G9" s="67">
        <f t="shared" si="3"/>
        <v>557</v>
      </c>
      <c r="H9" s="68">
        <f t="shared" si="4"/>
        <v>0.7527027027027027</v>
      </c>
      <c r="I9" s="70">
        <f t="shared" si="5"/>
        <v>0.0005334293570021461</v>
      </c>
      <c r="K9" s="229"/>
      <c r="L9" s="229"/>
    </row>
    <row r="10" spans="1:9" ht="12.75">
      <c r="A10" s="73">
        <v>38899</v>
      </c>
      <c r="B10" s="89">
        <f t="shared" si="0"/>
        <v>1047833</v>
      </c>
      <c r="C10" s="89">
        <f t="shared" si="0"/>
        <v>703</v>
      </c>
      <c r="D10" s="68">
        <f t="shared" si="1"/>
        <v>0.0006709084367451684</v>
      </c>
      <c r="E10" s="227">
        <f t="shared" si="2"/>
        <v>21</v>
      </c>
      <c r="F10" s="228">
        <f t="shared" si="2"/>
        <v>15</v>
      </c>
      <c r="G10" s="67">
        <f t="shared" si="3"/>
        <v>36</v>
      </c>
      <c r="H10" s="68">
        <f t="shared" si="4"/>
        <v>0.051209103840682786</v>
      </c>
      <c r="I10" s="70">
        <f t="shared" si="5"/>
        <v>3.435661980487349E-05</v>
      </c>
    </row>
    <row r="11" spans="1:9" ht="12.75">
      <c r="A11" s="73">
        <v>38930</v>
      </c>
      <c r="B11" s="89">
        <f t="shared" si="0"/>
        <v>1053282</v>
      </c>
      <c r="C11" s="89">
        <f t="shared" si="0"/>
        <v>822</v>
      </c>
      <c r="D11" s="68">
        <f t="shared" si="1"/>
        <v>0.0007804177798538284</v>
      </c>
      <c r="E11" s="227">
        <f t="shared" si="2"/>
        <v>5</v>
      </c>
      <c r="F11" s="228">
        <f t="shared" si="2"/>
        <v>3</v>
      </c>
      <c r="G11" s="67">
        <f t="shared" si="3"/>
        <v>8</v>
      </c>
      <c r="H11" s="68">
        <f t="shared" si="4"/>
        <v>0.009732360097323601</v>
      </c>
      <c r="I11" s="70">
        <f t="shared" si="5"/>
        <v>7.595306859891273E-06</v>
      </c>
    </row>
    <row r="12" spans="1:9" ht="12.75">
      <c r="A12" s="73">
        <v>38961</v>
      </c>
      <c r="B12" s="67"/>
      <c r="C12" s="89"/>
      <c r="D12" s="68"/>
      <c r="E12" s="227"/>
      <c r="F12" s="228"/>
      <c r="G12" s="67"/>
      <c r="H12" s="68"/>
      <c r="I12" s="70"/>
    </row>
    <row r="13" spans="1:9" ht="12.75">
      <c r="A13" s="73">
        <v>38991</v>
      </c>
      <c r="B13" s="67"/>
      <c r="C13" s="89"/>
      <c r="D13" s="68"/>
      <c r="E13" s="227"/>
      <c r="F13" s="228"/>
      <c r="G13" s="67"/>
      <c r="H13" s="68"/>
      <c r="I13" s="70"/>
    </row>
    <row r="14" spans="1:9" ht="12.75">
      <c r="A14" s="73">
        <v>39022</v>
      </c>
      <c r="B14" s="67"/>
      <c r="C14" s="89"/>
      <c r="D14" s="68"/>
      <c r="E14" s="227"/>
      <c r="F14" s="228"/>
      <c r="G14" s="67"/>
      <c r="H14" s="68"/>
      <c r="I14" s="70"/>
    </row>
    <row r="15" spans="1:9" ht="12.75">
      <c r="A15" s="73">
        <v>39052</v>
      </c>
      <c r="B15" s="67"/>
      <c r="C15" s="89"/>
      <c r="D15" s="68"/>
      <c r="E15" s="227"/>
      <c r="F15" s="228"/>
      <c r="G15" s="67"/>
      <c r="H15" s="68"/>
      <c r="I15" s="70"/>
    </row>
    <row r="16" spans="1:9" ht="13.5" hidden="1" thickBot="1">
      <c r="A16" s="74" t="s">
        <v>187</v>
      </c>
      <c r="B16" s="75">
        <f>+B11</f>
        <v>1053282</v>
      </c>
      <c r="C16" s="76"/>
      <c r="D16" s="68"/>
      <c r="E16" s="67"/>
      <c r="F16" s="139"/>
      <c r="G16" s="75"/>
      <c r="H16" s="68" t="e">
        <f>G16/C16</f>
        <v>#DIV/0!</v>
      </c>
      <c r="I16" s="230">
        <f>G16/B16</f>
        <v>0</v>
      </c>
    </row>
    <row r="17" spans="1:9" ht="13.5" thickBot="1">
      <c r="A17" s="74" t="s">
        <v>199</v>
      </c>
      <c r="B17" s="77">
        <f>B11</f>
        <v>1053282</v>
      </c>
      <c r="C17" s="75">
        <f>SUM(C4:C15)</f>
        <v>5674</v>
      </c>
      <c r="D17" s="82">
        <f>C17/B17</f>
        <v>0.005386971390377885</v>
      </c>
      <c r="E17" s="75">
        <f>SUM(E4:E15)</f>
        <v>1668</v>
      </c>
      <c r="F17" s="231">
        <f>SUM(F4:F15)</f>
        <v>86</v>
      </c>
      <c r="G17" s="75">
        <f>SUM(G4:G15)</f>
        <v>1754</v>
      </c>
      <c r="H17" s="78">
        <f>G17/C17</f>
        <v>0.3091293620021149</v>
      </c>
      <c r="I17" s="79">
        <f>G17/B17</f>
        <v>0.0016652710290311617</v>
      </c>
    </row>
    <row r="18" ht="12.75" customHeight="1"/>
    <row r="19" spans="1:9" s="80" customFormat="1" ht="36" customHeight="1">
      <c r="A19" s="291" t="s">
        <v>201</v>
      </c>
      <c r="B19" s="292"/>
      <c r="C19" s="292"/>
      <c r="D19" s="292"/>
      <c r="E19" s="292"/>
      <c r="F19" s="292"/>
      <c r="G19" s="292"/>
      <c r="H19" s="292"/>
      <c r="I19" s="292"/>
    </row>
    <row r="20" spans="1:9" s="80" customFormat="1" ht="36" customHeight="1">
      <c r="A20" s="289" t="s">
        <v>202</v>
      </c>
      <c r="B20" s="290"/>
      <c r="C20" s="290"/>
      <c r="D20" s="290"/>
      <c r="E20" s="290"/>
      <c r="F20" s="290"/>
      <c r="G20" s="290"/>
      <c r="H20" s="290"/>
      <c r="I20" s="290"/>
    </row>
    <row r="21" ht="12.75" customHeight="1"/>
    <row r="23" spans="1:9" ht="36" customHeight="1" thickBot="1">
      <c r="A23" s="288" t="s">
        <v>206</v>
      </c>
      <c r="B23" s="288"/>
      <c r="C23" s="288"/>
      <c r="D23" s="288"/>
      <c r="E23" s="288"/>
      <c r="F23" s="288"/>
      <c r="G23" s="288"/>
      <c r="H23" s="288"/>
      <c r="I23" s="288"/>
    </row>
    <row r="24" spans="1:9" ht="54" customHeight="1" thickBot="1">
      <c r="A24" s="61"/>
      <c r="B24" s="47" t="s">
        <v>122</v>
      </c>
      <c r="C24" s="47" t="s">
        <v>116</v>
      </c>
      <c r="D24" s="47" t="s">
        <v>123</v>
      </c>
      <c r="E24" s="47" t="s">
        <v>118</v>
      </c>
      <c r="F24" s="47" t="s">
        <v>119</v>
      </c>
      <c r="G24" s="47" t="s">
        <v>120</v>
      </c>
      <c r="H24" s="47" t="s">
        <v>127</v>
      </c>
      <c r="I24" s="47" t="s">
        <v>188</v>
      </c>
    </row>
    <row r="25" spans="1:9" ht="12.75">
      <c r="A25" s="64"/>
      <c r="B25" s="65"/>
      <c r="C25" s="65"/>
      <c r="D25" s="66"/>
      <c r="E25" s="65"/>
      <c r="F25" s="66"/>
      <c r="G25" s="65"/>
      <c r="H25" s="64"/>
      <c r="I25" s="81"/>
    </row>
    <row r="26" spans="1:9" ht="12.75">
      <c r="A26" s="73">
        <v>38718</v>
      </c>
      <c r="B26" s="67">
        <v>90</v>
      </c>
      <c r="C26" s="67">
        <v>2</v>
      </c>
      <c r="D26" s="69">
        <f aca="true" t="shared" si="6" ref="D26:D33">C26/B26</f>
        <v>0.022222222222222223</v>
      </c>
      <c r="E26" s="67">
        <v>0</v>
      </c>
      <c r="F26" s="67">
        <v>0</v>
      </c>
      <c r="G26" s="67">
        <f aca="true" t="shared" si="7" ref="G26:G33">SUM(E26:F26)</f>
        <v>0</v>
      </c>
      <c r="H26" s="69">
        <v>0</v>
      </c>
      <c r="I26" s="70">
        <f aca="true" t="shared" si="8" ref="I26:I33">G26/B26</f>
        <v>0</v>
      </c>
    </row>
    <row r="27" spans="1:9" ht="12.75">
      <c r="A27" s="73">
        <v>38749</v>
      </c>
      <c r="B27" s="67">
        <v>35</v>
      </c>
      <c r="C27" s="67">
        <v>0</v>
      </c>
      <c r="D27" s="69">
        <f t="shared" si="6"/>
        <v>0</v>
      </c>
      <c r="E27" s="67">
        <v>0</v>
      </c>
      <c r="F27" s="67">
        <v>0</v>
      </c>
      <c r="G27" s="67">
        <f t="shared" si="7"/>
        <v>0</v>
      </c>
      <c r="H27" s="69">
        <v>0</v>
      </c>
      <c r="I27" s="70">
        <f t="shared" si="8"/>
        <v>0</v>
      </c>
    </row>
    <row r="28" spans="1:9" ht="12.75">
      <c r="A28" s="73">
        <v>38777</v>
      </c>
      <c r="B28" s="67">
        <v>288</v>
      </c>
      <c r="C28" s="67">
        <v>2</v>
      </c>
      <c r="D28" s="69">
        <f t="shared" si="6"/>
        <v>0.006944444444444444</v>
      </c>
      <c r="E28" s="67">
        <v>0</v>
      </c>
      <c r="F28" s="67">
        <v>0</v>
      </c>
      <c r="G28" s="67">
        <f t="shared" si="7"/>
        <v>0</v>
      </c>
      <c r="H28" s="68">
        <v>0</v>
      </c>
      <c r="I28" s="70">
        <f t="shared" si="8"/>
        <v>0</v>
      </c>
    </row>
    <row r="29" spans="1:9" ht="12.75">
      <c r="A29" s="73">
        <v>38808</v>
      </c>
      <c r="B29" s="67">
        <v>118</v>
      </c>
      <c r="C29" s="67">
        <v>0</v>
      </c>
      <c r="D29" s="69">
        <f t="shared" si="6"/>
        <v>0</v>
      </c>
      <c r="E29" s="67">
        <v>0</v>
      </c>
      <c r="F29" s="67">
        <v>0</v>
      </c>
      <c r="G29" s="67">
        <f t="shared" si="7"/>
        <v>0</v>
      </c>
      <c r="H29" s="68">
        <v>0</v>
      </c>
      <c r="I29" s="70">
        <f t="shared" si="8"/>
        <v>0</v>
      </c>
    </row>
    <row r="30" spans="1:9" ht="12.75">
      <c r="A30" s="73">
        <v>38838</v>
      </c>
      <c r="B30" s="67">
        <v>193</v>
      </c>
      <c r="C30" s="67">
        <v>1</v>
      </c>
      <c r="D30" s="68">
        <f t="shared" si="6"/>
        <v>0.0051813471502590676</v>
      </c>
      <c r="E30" s="67">
        <v>1</v>
      </c>
      <c r="F30" s="67">
        <v>0</v>
      </c>
      <c r="G30" s="67">
        <f t="shared" si="7"/>
        <v>1</v>
      </c>
      <c r="H30" s="68">
        <v>0</v>
      </c>
      <c r="I30" s="70">
        <f t="shared" si="8"/>
        <v>0.0051813471502590676</v>
      </c>
    </row>
    <row r="31" spans="1:9" ht="12.75">
      <c r="A31" s="73">
        <v>38869</v>
      </c>
      <c r="B31" s="67">
        <v>179</v>
      </c>
      <c r="C31" s="67">
        <v>0</v>
      </c>
      <c r="D31" s="68">
        <f t="shared" si="6"/>
        <v>0</v>
      </c>
      <c r="E31" s="67">
        <v>0</v>
      </c>
      <c r="F31" s="67">
        <v>0</v>
      </c>
      <c r="G31" s="67">
        <f t="shared" si="7"/>
        <v>0</v>
      </c>
      <c r="H31" s="68">
        <v>0</v>
      </c>
      <c r="I31" s="70">
        <f t="shared" si="8"/>
        <v>0</v>
      </c>
    </row>
    <row r="32" spans="1:9" ht="12.75">
      <c r="A32" s="73">
        <v>38899</v>
      </c>
      <c r="B32" s="67">
        <v>49</v>
      </c>
      <c r="C32" s="67">
        <v>0</v>
      </c>
      <c r="D32" s="68">
        <f t="shared" si="6"/>
        <v>0</v>
      </c>
      <c r="E32" s="67">
        <v>0</v>
      </c>
      <c r="F32" s="67">
        <v>0</v>
      </c>
      <c r="G32" s="67">
        <f t="shared" si="7"/>
        <v>0</v>
      </c>
      <c r="H32" s="68">
        <v>0</v>
      </c>
      <c r="I32" s="70">
        <f t="shared" si="8"/>
        <v>0</v>
      </c>
    </row>
    <row r="33" spans="1:9" ht="12.75">
      <c r="A33" s="73">
        <v>38930</v>
      </c>
      <c r="B33" s="67">
        <v>211</v>
      </c>
      <c r="C33" s="67">
        <v>1</v>
      </c>
      <c r="D33" s="68">
        <f t="shared" si="6"/>
        <v>0.004739336492890996</v>
      </c>
      <c r="E33" s="67">
        <v>0</v>
      </c>
      <c r="F33" s="67">
        <v>0</v>
      </c>
      <c r="G33" s="67">
        <f t="shared" si="7"/>
        <v>0</v>
      </c>
      <c r="H33" s="68">
        <v>0</v>
      </c>
      <c r="I33" s="70">
        <f t="shared" si="8"/>
        <v>0</v>
      </c>
    </row>
    <row r="34" spans="1:9" ht="12.75">
      <c r="A34" s="73">
        <v>38961</v>
      </c>
      <c r="B34" s="67"/>
      <c r="C34" s="67"/>
      <c r="D34" s="68"/>
      <c r="E34" s="67"/>
      <c r="F34" s="67"/>
      <c r="G34" s="67"/>
      <c r="H34" s="68"/>
      <c r="I34" s="70"/>
    </row>
    <row r="35" spans="1:9" ht="12.75">
      <c r="A35" s="73">
        <v>38991</v>
      </c>
      <c r="B35" s="67"/>
      <c r="C35" s="67"/>
      <c r="D35" s="68"/>
      <c r="E35" s="67"/>
      <c r="F35" s="67"/>
      <c r="G35" s="67"/>
      <c r="H35" s="68"/>
      <c r="I35" s="70"/>
    </row>
    <row r="36" spans="1:9" ht="12.75">
      <c r="A36" s="73">
        <v>39022</v>
      </c>
      <c r="B36" s="67"/>
      <c r="C36" s="67"/>
      <c r="D36" s="68"/>
      <c r="E36" s="67"/>
      <c r="F36" s="67"/>
      <c r="G36" s="67"/>
      <c r="H36" s="68"/>
      <c r="I36" s="70"/>
    </row>
    <row r="37" spans="1:9" ht="12.75">
      <c r="A37" s="73">
        <v>39052</v>
      </c>
      <c r="B37" s="67"/>
      <c r="C37" s="67"/>
      <c r="D37" s="68"/>
      <c r="E37" s="67"/>
      <c r="F37" s="67"/>
      <c r="G37" s="67"/>
      <c r="H37" s="68"/>
      <c r="I37" s="70"/>
    </row>
    <row r="38" spans="1:9" ht="13.5" thickBot="1">
      <c r="A38" s="74" t="s">
        <v>199</v>
      </c>
      <c r="B38" s="75">
        <f>SUM(B26:B37)</f>
        <v>1163</v>
      </c>
      <c r="C38" s="75">
        <f>SUM(C26:C37)</f>
        <v>6</v>
      </c>
      <c r="D38" s="79">
        <f>C38/B38</f>
        <v>0.005159071367153913</v>
      </c>
      <c r="E38" s="75">
        <f>SUM(E26:E37)</f>
        <v>1</v>
      </c>
      <c r="F38" s="75">
        <f>SUM(F26:F37)</f>
        <v>0</v>
      </c>
      <c r="G38" s="75">
        <f>SUM(G26:G37)</f>
        <v>1</v>
      </c>
      <c r="H38" s="79">
        <f>G38/C38</f>
        <v>0.16666666666666666</v>
      </c>
      <c r="I38" s="79">
        <f>G38/B38</f>
        <v>0.0008598452278589854</v>
      </c>
    </row>
    <row r="40" spans="1:9" ht="36" customHeight="1">
      <c r="A40" s="291" t="s">
        <v>201</v>
      </c>
      <c r="B40" s="292"/>
      <c r="C40" s="292"/>
      <c r="D40" s="292"/>
      <c r="E40" s="292"/>
      <c r="F40" s="292"/>
      <c r="G40" s="292"/>
      <c r="H40" s="292"/>
      <c r="I40" s="292"/>
    </row>
    <row r="42" ht="12.75" customHeight="1"/>
    <row r="43" spans="1:9" ht="36" customHeight="1" thickBot="1">
      <c r="A43" s="288" t="s">
        <v>207</v>
      </c>
      <c r="B43" s="288"/>
      <c r="C43" s="288"/>
      <c r="D43" s="288"/>
      <c r="E43" s="288"/>
      <c r="F43" s="288"/>
      <c r="G43" s="288"/>
      <c r="H43" s="288"/>
      <c r="I43" s="288"/>
    </row>
    <row r="44" spans="1:9" ht="53.25" customHeight="1" thickBot="1">
      <c r="A44" s="61"/>
      <c r="B44" s="47" t="s">
        <v>124</v>
      </c>
      <c r="C44" s="47" t="s">
        <v>116</v>
      </c>
      <c r="D44" s="47" t="s">
        <v>125</v>
      </c>
      <c r="E44" s="47" t="s">
        <v>200</v>
      </c>
      <c r="F44" s="47" t="s">
        <v>119</v>
      </c>
      <c r="G44" s="47" t="s">
        <v>120</v>
      </c>
      <c r="H44" s="47" t="s">
        <v>127</v>
      </c>
      <c r="I44" s="47" t="s">
        <v>126</v>
      </c>
    </row>
    <row r="45" spans="1:9" ht="12.75">
      <c r="A45" s="64"/>
      <c r="B45" s="65"/>
      <c r="C45" s="65"/>
      <c r="D45" s="66"/>
      <c r="E45" s="65"/>
      <c r="F45" s="66"/>
      <c r="G45" s="65"/>
      <c r="H45" s="64"/>
      <c r="I45" s="81"/>
    </row>
    <row r="46" spans="1:13" ht="12.75">
      <c r="A46" s="73">
        <v>38718</v>
      </c>
      <c r="B46" s="67">
        <v>1000753</v>
      </c>
      <c r="C46" s="67">
        <v>654</v>
      </c>
      <c r="D46" s="68">
        <f aca="true" t="shared" si="9" ref="D46:D53">C46/B46</f>
        <v>0.0006535079085448658</v>
      </c>
      <c r="E46" s="67">
        <v>1</v>
      </c>
      <c r="F46" s="228">
        <v>9</v>
      </c>
      <c r="G46" s="67">
        <f aca="true" t="shared" si="10" ref="G46:G53">SUM(E46:F46)</f>
        <v>10</v>
      </c>
      <c r="H46" s="68">
        <f aca="true" t="shared" si="11" ref="H46:H53">G46/C46</f>
        <v>0.01529051987767584</v>
      </c>
      <c r="I46" s="70">
        <f aca="true" t="shared" si="12" ref="I46:I53">G46/B46</f>
        <v>9.992475665823634E-06</v>
      </c>
      <c r="J46" s="131"/>
      <c r="K46" s="131"/>
      <c r="L46" s="131"/>
      <c r="M46" s="131"/>
    </row>
    <row r="47" spans="1:9" ht="12.75">
      <c r="A47" s="73">
        <v>38749</v>
      </c>
      <c r="B47" s="67">
        <v>1016316</v>
      </c>
      <c r="C47" s="67">
        <v>616</v>
      </c>
      <c r="D47" s="68">
        <f t="shared" si="9"/>
        <v>0.0006061106978538171</v>
      </c>
      <c r="E47" s="71">
        <v>0</v>
      </c>
      <c r="F47" s="232">
        <v>13</v>
      </c>
      <c r="G47" s="67">
        <f t="shared" si="10"/>
        <v>13</v>
      </c>
      <c r="H47" s="68">
        <f t="shared" si="11"/>
        <v>0.021103896103896104</v>
      </c>
      <c r="I47" s="70">
        <f t="shared" si="12"/>
        <v>1.2791297194966919E-05</v>
      </c>
    </row>
    <row r="48" spans="1:10" ht="12.75">
      <c r="A48" s="73">
        <v>38777</v>
      </c>
      <c r="B48" s="67">
        <v>1029898</v>
      </c>
      <c r="C48" s="67">
        <v>739</v>
      </c>
      <c r="D48" s="68">
        <f t="shared" si="9"/>
        <v>0.0007175467861865933</v>
      </c>
      <c r="E48" s="71">
        <v>1</v>
      </c>
      <c r="F48" s="232">
        <v>15</v>
      </c>
      <c r="G48" s="67">
        <f t="shared" si="10"/>
        <v>16</v>
      </c>
      <c r="H48" s="68">
        <f t="shared" si="11"/>
        <v>0.02165087956698241</v>
      </c>
      <c r="I48" s="70">
        <f t="shared" si="12"/>
        <v>1.5535519051401208E-05</v>
      </c>
      <c r="J48" s="131"/>
    </row>
    <row r="49" spans="1:9" ht="12.75">
      <c r="A49" s="73">
        <v>38808</v>
      </c>
      <c r="B49" s="138">
        <v>1028333</v>
      </c>
      <c r="C49" s="67">
        <v>673</v>
      </c>
      <c r="D49" s="68">
        <f t="shared" si="9"/>
        <v>0.0006544572623848501</v>
      </c>
      <c r="E49" s="71">
        <v>498</v>
      </c>
      <c r="F49" s="232">
        <v>8</v>
      </c>
      <c r="G49" s="67">
        <f t="shared" si="10"/>
        <v>506</v>
      </c>
      <c r="H49" s="68">
        <f t="shared" si="11"/>
        <v>0.7518573551263001</v>
      </c>
      <c r="I49" s="70">
        <f t="shared" si="12"/>
        <v>0.0004920585063398723</v>
      </c>
    </row>
    <row r="50" spans="1:9" ht="12.75">
      <c r="A50" s="73">
        <v>38838</v>
      </c>
      <c r="B50" s="67">
        <v>1039720</v>
      </c>
      <c r="C50" s="67">
        <v>732</v>
      </c>
      <c r="D50" s="68">
        <f t="shared" si="9"/>
        <v>0.0007040357019197476</v>
      </c>
      <c r="E50" s="71">
        <v>601</v>
      </c>
      <c r="F50" s="232">
        <v>8</v>
      </c>
      <c r="G50" s="67">
        <f t="shared" si="10"/>
        <v>609</v>
      </c>
      <c r="H50" s="68">
        <f t="shared" si="11"/>
        <v>0.8319672131147541</v>
      </c>
      <c r="I50" s="70">
        <f t="shared" si="12"/>
        <v>0.0005857346208594621</v>
      </c>
    </row>
    <row r="51" spans="1:9" ht="12.75">
      <c r="A51" s="73">
        <v>38869</v>
      </c>
      <c r="B51" s="67">
        <v>1044366</v>
      </c>
      <c r="C51" s="67">
        <v>740</v>
      </c>
      <c r="D51" s="68">
        <f t="shared" si="9"/>
        <v>0.0007085638559662035</v>
      </c>
      <c r="E51" s="71">
        <v>542</v>
      </c>
      <c r="F51" s="232">
        <v>15</v>
      </c>
      <c r="G51" s="67">
        <f t="shared" si="10"/>
        <v>557</v>
      </c>
      <c r="H51" s="68">
        <f t="shared" si="11"/>
        <v>0.7527027027027027</v>
      </c>
      <c r="I51" s="70">
        <f t="shared" si="12"/>
        <v>0.0005333379294232099</v>
      </c>
    </row>
    <row r="52" spans="1:9" ht="12.75">
      <c r="A52" s="73">
        <v>38899</v>
      </c>
      <c r="B52" s="67">
        <v>1047882</v>
      </c>
      <c r="C52" s="67">
        <v>703</v>
      </c>
      <c r="D52" s="68">
        <f t="shared" si="9"/>
        <v>0.0006708770644022896</v>
      </c>
      <c r="E52" s="71">
        <v>21</v>
      </c>
      <c r="F52" s="232">
        <v>15</v>
      </c>
      <c r="G52" s="67">
        <f t="shared" si="10"/>
        <v>36</v>
      </c>
      <c r="H52" s="68">
        <f t="shared" si="11"/>
        <v>0.051209103840682786</v>
      </c>
      <c r="I52" s="70">
        <f t="shared" si="12"/>
        <v>3.4355013255309284E-05</v>
      </c>
    </row>
    <row r="53" spans="1:9" ht="12.75">
      <c r="A53" s="73">
        <v>38930</v>
      </c>
      <c r="B53" s="67">
        <v>1053493</v>
      </c>
      <c r="C53" s="67">
        <v>823</v>
      </c>
      <c r="D53" s="69">
        <f t="shared" si="9"/>
        <v>0.0007812106962267429</v>
      </c>
      <c r="E53" s="71">
        <v>5</v>
      </c>
      <c r="F53" s="232">
        <v>3</v>
      </c>
      <c r="G53" s="71">
        <f t="shared" si="10"/>
        <v>8</v>
      </c>
      <c r="H53" s="68">
        <f t="shared" si="11"/>
        <v>0.009720534629404616</v>
      </c>
      <c r="I53" s="70">
        <f t="shared" si="12"/>
        <v>7.593785625533345E-06</v>
      </c>
    </row>
    <row r="54" spans="1:9" ht="12.75">
      <c r="A54" s="73">
        <v>38961</v>
      </c>
      <c r="B54" s="67"/>
      <c r="C54" s="67"/>
      <c r="D54" s="69"/>
      <c r="E54" s="71"/>
      <c r="F54" s="71"/>
      <c r="G54" s="71"/>
      <c r="H54" s="68"/>
      <c r="I54" s="70"/>
    </row>
    <row r="55" spans="1:9" ht="12.75">
      <c r="A55" s="73">
        <v>38991</v>
      </c>
      <c r="B55" s="71"/>
      <c r="C55" s="67"/>
      <c r="D55" s="69"/>
      <c r="E55" s="71"/>
      <c r="F55" s="233"/>
      <c r="G55" s="71"/>
      <c r="H55" s="68"/>
      <c r="I55" s="70"/>
    </row>
    <row r="56" spans="1:9" ht="12.75">
      <c r="A56" s="73">
        <v>39022</v>
      </c>
      <c r="B56" s="67"/>
      <c r="C56" s="67"/>
      <c r="D56" s="69"/>
      <c r="E56" s="72"/>
      <c r="F56" s="71"/>
      <c r="G56" s="71"/>
      <c r="H56" s="68"/>
      <c r="I56" s="70"/>
    </row>
    <row r="57" spans="1:9" ht="12.75">
      <c r="A57" s="73">
        <v>39052</v>
      </c>
      <c r="B57" s="67"/>
      <c r="C57" s="67"/>
      <c r="D57" s="69"/>
      <c r="E57" s="72"/>
      <c r="F57" s="71"/>
      <c r="G57" s="71"/>
      <c r="H57" s="68"/>
      <c r="I57" s="70"/>
    </row>
    <row r="58" spans="1:9" ht="16.5" customHeight="1" thickBot="1">
      <c r="A58" s="74" t="s">
        <v>199</v>
      </c>
      <c r="B58" s="75">
        <f>B53</f>
        <v>1053493</v>
      </c>
      <c r="C58" s="76">
        <f>SUM(C46:C57)</f>
        <v>5680</v>
      </c>
      <c r="D58" s="79">
        <f>C58/B58</f>
        <v>0.005391587794128675</v>
      </c>
      <c r="E58" s="234">
        <f>SUM(E46:E57)</f>
        <v>1669</v>
      </c>
      <c r="F58" s="234">
        <f>SUM(F46:F57)</f>
        <v>86</v>
      </c>
      <c r="G58" s="234">
        <f>SUM(G46:G57)</f>
        <v>1755</v>
      </c>
      <c r="H58" s="235">
        <f>G58/C58</f>
        <v>0.3089788732394366</v>
      </c>
      <c r="I58" s="79">
        <f>G58/B58</f>
        <v>0.0016658867216013775</v>
      </c>
    </row>
    <row r="59" spans="2:6" ht="12.75" customHeight="1">
      <c r="B59" s="131"/>
      <c r="C59" s="43"/>
      <c r="D59" s="43"/>
      <c r="E59" s="43"/>
      <c r="F59" s="43"/>
    </row>
    <row r="60" spans="1:9" ht="37.5" customHeight="1">
      <c r="A60" s="291" t="s">
        <v>201</v>
      </c>
      <c r="B60" s="292"/>
      <c r="C60" s="292"/>
      <c r="D60" s="292"/>
      <c r="E60" s="292"/>
      <c r="F60" s="292"/>
      <c r="G60" s="292"/>
      <c r="H60" s="292"/>
      <c r="I60" s="292"/>
    </row>
    <row r="61" spans="1:9" ht="30" customHeight="1">
      <c r="A61" s="289" t="s">
        <v>202</v>
      </c>
      <c r="B61" s="290"/>
      <c r="C61" s="290"/>
      <c r="D61" s="290"/>
      <c r="E61" s="290"/>
      <c r="F61" s="290"/>
      <c r="G61" s="290"/>
      <c r="H61" s="290"/>
      <c r="I61" s="290"/>
    </row>
  </sheetData>
  <mergeCells count="8">
    <mergeCell ref="A1:I1"/>
    <mergeCell ref="A19:I19"/>
    <mergeCell ref="A40:I40"/>
    <mergeCell ref="A20:I20"/>
    <mergeCell ref="A43:I43"/>
    <mergeCell ref="A61:I61"/>
    <mergeCell ref="A23:I23"/>
    <mergeCell ref="A60:I60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28.7109375" style="48" customWidth="1"/>
    <col min="2" max="2" width="13.421875" style="48" customWidth="1"/>
    <col min="3" max="3" width="11.421875" style="48" customWidth="1"/>
    <col min="4" max="5" width="13.421875" style="48" customWidth="1"/>
    <col min="6" max="6" width="13.28125" style="48" customWidth="1"/>
    <col min="7" max="7" width="15.28125" style="48" customWidth="1"/>
    <col min="8" max="8" width="16.7109375" style="48" customWidth="1"/>
    <col min="9" max="16384" width="11.421875" style="48" customWidth="1"/>
  </cols>
  <sheetData>
    <row r="1" spans="1:8" ht="15">
      <c r="A1" s="294" t="s">
        <v>162</v>
      </c>
      <c r="B1" s="295"/>
      <c r="C1" s="295"/>
      <c r="D1" s="295"/>
      <c r="E1" s="295"/>
      <c r="F1" s="295"/>
      <c r="G1" s="295"/>
      <c r="H1" s="296"/>
    </row>
    <row r="2" spans="1:8" ht="15">
      <c r="A2" s="297" t="s">
        <v>204</v>
      </c>
      <c r="B2" s="298"/>
      <c r="C2" s="298"/>
      <c r="D2" s="298"/>
      <c r="E2" s="298"/>
      <c r="F2" s="298"/>
      <c r="G2" s="298"/>
      <c r="H2" s="299"/>
    </row>
    <row r="3" spans="1:8" ht="15">
      <c r="A3" s="52" t="s">
        <v>100</v>
      </c>
      <c r="B3" s="49" t="s">
        <v>101</v>
      </c>
      <c r="C3" s="49" t="s">
        <v>102</v>
      </c>
      <c r="D3" s="49" t="s">
        <v>103</v>
      </c>
      <c r="E3" s="49" t="s">
        <v>104</v>
      </c>
      <c r="F3" s="49" t="s">
        <v>105</v>
      </c>
      <c r="G3" s="49" t="s">
        <v>106</v>
      </c>
      <c r="H3" s="49" t="s">
        <v>107</v>
      </c>
    </row>
    <row r="4" spans="1:8" ht="79.5" customHeight="1">
      <c r="A4" s="133">
        <v>2005</v>
      </c>
      <c r="B4" s="91" t="s">
        <v>163</v>
      </c>
      <c r="C4" s="134" t="s">
        <v>164</v>
      </c>
      <c r="D4" s="134" t="s">
        <v>165</v>
      </c>
      <c r="E4" s="91" t="s">
        <v>166</v>
      </c>
      <c r="F4" s="91" t="s">
        <v>161</v>
      </c>
      <c r="G4" s="91" t="s">
        <v>167</v>
      </c>
      <c r="H4" s="91" t="s">
        <v>168</v>
      </c>
    </row>
    <row r="5" spans="1:8" ht="15">
      <c r="A5" s="90" t="s">
        <v>88</v>
      </c>
      <c r="B5" s="135">
        <v>1329734</v>
      </c>
      <c r="C5" s="135">
        <v>90</v>
      </c>
      <c r="D5" s="135">
        <v>29085</v>
      </c>
      <c r="E5" s="135">
        <v>29175</v>
      </c>
      <c r="F5" s="135">
        <v>29175</v>
      </c>
      <c r="G5" s="135">
        <v>1000753</v>
      </c>
      <c r="H5" s="136">
        <f aca="true" t="shared" si="0" ref="H5:H16">IF(B5&gt;0,G5/B5,"")</f>
        <v>0.7525963839384419</v>
      </c>
    </row>
    <row r="6" spans="1:8" ht="15">
      <c r="A6" s="90" t="s">
        <v>89</v>
      </c>
      <c r="B6" s="135">
        <v>1329734</v>
      </c>
      <c r="C6" s="135">
        <v>35</v>
      </c>
      <c r="D6" s="135">
        <v>21976</v>
      </c>
      <c r="E6" s="135">
        <v>22011</v>
      </c>
      <c r="F6" s="135">
        <v>51186</v>
      </c>
      <c r="G6" s="135">
        <v>1016316</v>
      </c>
      <c r="H6" s="136">
        <f t="shared" si="0"/>
        <v>0.764300228466746</v>
      </c>
    </row>
    <row r="7" spans="1:8" ht="15">
      <c r="A7" s="90" t="s">
        <v>90</v>
      </c>
      <c r="B7" s="135">
        <v>1329734</v>
      </c>
      <c r="C7" s="135">
        <v>288</v>
      </c>
      <c r="D7" s="135">
        <v>26190</v>
      </c>
      <c r="E7" s="135">
        <v>26478</v>
      </c>
      <c r="F7" s="135">
        <v>77664</v>
      </c>
      <c r="G7" s="135">
        <v>1029898</v>
      </c>
      <c r="H7" s="136">
        <f t="shared" si="0"/>
        <v>0.7745143013565119</v>
      </c>
    </row>
    <row r="8" spans="1:8" ht="15">
      <c r="A8" s="90" t="s">
        <v>91</v>
      </c>
      <c r="B8" s="135">
        <v>1339509</v>
      </c>
      <c r="C8" s="135">
        <v>108</v>
      </c>
      <c r="D8" s="135">
        <v>13784</v>
      </c>
      <c r="E8" s="135">
        <v>13892</v>
      </c>
      <c r="F8" s="135">
        <v>91556</v>
      </c>
      <c r="G8" s="135">
        <v>1028333</v>
      </c>
      <c r="H8" s="136">
        <f t="shared" si="0"/>
        <v>0.7676939833924221</v>
      </c>
    </row>
    <row r="9" spans="1:8" ht="15">
      <c r="A9" s="90" t="s">
        <v>92</v>
      </c>
      <c r="B9" s="135">
        <v>1339509</v>
      </c>
      <c r="C9" s="135">
        <v>193</v>
      </c>
      <c r="D9" s="135">
        <v>23175</v>
      </c>
      <c r="E9" s="135">
        <v>23368</v>
      </c>
      <c r="F9" s="135">
        <v>114924</v>
      </c>
      <c r="G9" s="135">
        <v>1039720</v>
      </c>
      <c r="H9" s="136">
        <f t="shared" si="0"/>
        <v>0.7761948594596976</v>
      </c>
    </row>
    <row r="10" spans="1:8" ht="15">
      <c r="A10" s="90" t="s">
        <v>93</v>
      </c>
      <c r="B10" s="135">
        <v>1339509</v>
      </c>
      <c r="C10" s="135">
        <v>179</v>
      </c>
      <c r="D10" s="135">
        <v>27937</v>
      </c>
      <c r="E10" s="135">
        <v>28116</v>
      </c>
      <c r="F10" s="135">
        <v>143040</v>
      </c>
      <c r="G10" s="135">
        <v>1044366</v>
      </c>
      <c r="H10" s="136">
        <f t="shared" si="0"/>
        <v>0.7796632945355351</v>
      </c>
    </row>
    <row r="11" spans="1:8" ht="15">
      <c r="A11" s="90" t="s">
        <v>94</v>
      </c>
      <c r="B11" s="135">
        <v>1344979</v>
      </c>
      <c r="C11" s="135">
        <v>49</v>
      </c>
      <c r="D11" s="135">
        <v>24351</v>
      </c>
      <c r="E11" s="135">
        <v>24400</v>
      </c>
      <c r="F11" s="135">
        <v>167440</v>
      </c>
      <c r="G11" s="135">
        <v>1047882</v>
      </c>
      <c r="H11" s="136">
        <f t="shared" si="0"/>
        <v>0.779106588281304</v>
      </c>
    </row>
    <row r="12" spans="1:8" ht="15">
      <c r="A12" s="90" t="s">
        <v>95</v>
      </c>
      <c r="B12" s="135">
        <v>1344979</v>
      </c>
      <c r="C12" s="135">
        <v>211</v>
      </c>
      <c r="D12" s="135">
        <v>30862</v>
      </c>
      <c r="E12" s="135">
        <v>31073</v>
      </c>
      <c r="F12" s="135">
        <v>198513</v>
      </c>
      <c r="G12" s="135">
        <v>1053493</v>
      </c>
      <c r="H12" s="136">
        <f t="shared" si="0"/>
        <v>0.7832784006293035</v>
      </c>
    </row>
    <row r="13" spans="1:8" ht="15">
      <c r="A13" s="90" t="s">
        <v>96</v>
      </c>
      <c r="B13" s="135">
        <v>0</v>
      </c>
      <c r="C13" s="135">
        <v>0</v>
      </c>
      <c r="D13" s="135">
        <v>0</v>
      </c>
      <c r="E13" s="135">
        <v>0</v>
      </c>
      <c r="F13" s="135" t="s">
        <v>203</v>
      </c>
      <c r="G13" s="135">
        <v>0</v>
      </c>
      <c r="H13" s="136">
        <f t="shared" si="0"/>
      </c>
    </row>
    <row r="14" spans="1:8" ht="15">
      <c r="A14" s="90" t="s">
        <v>97</v>
      </c>
      <c r="B14" s="135">
        <v>0</v>
      </c>
      <c r="C14" s="135">
        <v>0</v>
      </c>
      <c r="D14" s="135">
        <v>0</v>
      </c>
      <c r="E14" s="135">
        <v>0</v>
      </c>
      <c r="F14" s="135" t="s">
        <v>203</v>
      </c>
      <c r="G14" s="135">
        <v>0</v>
      </c>
      <c r="H14" s="136">
        <f t="shared" si="0"/>
      </c>
    </row>
    <row r="15" spans="1:8" ht="15">
      <c r="A15" s="90" t="s">
        <v>98</v>
      </c>
      <c r="B15" s="135">
        <v>0</v>
      </c>
      <c r="C15" s="135">
        <v>0</v>
      </c>
      <c r="D15" s="135">
        <v>0</v>
      </c>
      <c r="E15" s="135">
        <v>0</v>
      </c>
      <c r="F15" s="135" t="s">
        <v>203</v>
      </c>
      <c r="G15" s="135">
        <v>0</v>
      </c>
      <c r="H15" s="136">
        <f t="shared" si="0"/>
      </c>
    </row>
    <row r="16" spans="1:8" ht="15">
      <c r="A16" s="90" t="s">
        <v>99</v>
      </c>
      <c r="B16" s="135">
        <v>0</v>
      </c>
      <c r="C16" s="135">
        <v>0</v>
      </c>
      <c r="D16" s="135">
        <v>0</v>
      </c>
      <c r="E16" s="135">
        <v>0</v>
      </c>
      <c r="F16" s="135" t="s">
        <v>203</v>
      </c>
      <c r="G16" s="135">
        <v>0</v>
      </c>
      <c r="H16" s="136">
        <f t="shared" si="0"/>
      </c>
    </row>
    <row r="18" ht="15">
      <c r="H18" s="137"/>
    </row>
    <row r="19" ht="15">
      <c r="B19" s="236"/>
    </row>
  </sheetData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Footer>&amp;L&amp;F 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California Edison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Zaida Amaya</cp:lastModifiedBy>
  <cp:lastPrinted>2006-09-20T16:46:09Z</cp:lastPrinted>
  <dcterms:created xsi:type="dcterms:W3CDTF">2001-05-21T20:22:52Z</dcterms:created>
  <dcterms:modified xsi:type="dcterms:W3CDTF">2006-09-26T17:48:21Z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